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jpg" ContentType="image/jpe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docProps/custom.xml" ContentType="application/vnd.openxmlformats-officedocument.custom-properties+xml"/>
  <Override PartName="/xl/drawings/drawing12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8.xml" ContentType="application/vnd.openxmlformats-officedocument.spreadsheetml.comments+xml"/>
  <Override PartName="/xl/comments12.xml" ContentType="application/vnd.openxmlformats-officedocument.spreadsheetml.comments+xml"/>
  <Override PartName="/xl/comments23.xml" ContentType="application/vnd.openxmlformats-officedocument.spreadsheetml.comments+xml"/>
  <Override PartName="/xl/externalLinks/externalLink10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7.xml" ContentType="application/vnd.openxmlformats-officedocument.spreadsheetml.table+xml"/>
  <Override PartName="/xl/tables/table6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8.xml" ContentType="application/vnd.openxmlformats-officedocument.spreadsheetml.table+xml"/>
  <Override PartName="/xl/tables/table4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11.xml" ContentType="application/vnd.openxmlformats-officedocument.spreadsheetml.table+xml"/>
  <Override PartName="/xl/tables/table9.xml" ContentType="application/vnd.openxmlformats-officedocument.spreadsheetml.tabl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Tables/_rels/pivotTable1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externalLinks/_rels/externalLink10.xml.rels" ContentType="application/vnd.openxmlformats-package.relationships+xml"/>
  <Override PartName="/xl/externalLinks/_rels/externalLink16.xml.rels" ContentType="application/vnd.openxmlformats-package.relationships+xml"/>
  <Override PartName="/xl/externalLinks/_rels/externalLink15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11.xml.rels" ContentType="application/vnd.openxmlformats-package.relationships+xml"/>
  <Override PartName="/xl/externalLinks/_rels/externalLink12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13.xml.rels" ContentType="application/vnd.openxmlformats-package.relationships+xml"/>
  <Override PartName="/xl/externalLinks/_rels/externalLink8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/>
  <workbookProtection/>
  <bookViews>
    <workbookView activeTab="8" firstSheet="3" showHorizontalScroll="true" showSheetTabs="true" showVerticalScroll="true" tabRatio="500" windowHeight="8192" windowWidth="16384" xWindow="0" yWindow="0"/>
  </bookViews>
  <sheets>
    <sheet state="hidden" name="BO_(2008-2018)" sheetId="1" r:id="rId2"/>
    <sheet state="hidden" name="BO_(Exchange)" sheetId="2" r:id="rId3"/>
    <sheet state="hidden" name="tbl_itens_de_Informação" sheetId="3" r:id="rId4"/>
    <sheet state="visible" name="RCL" sheetId="4" r:id="rId5"/>
    <sheet state="visible" name="RCL_Compl" sheetId="5" r:id="rId6"/>
    <sheet state="visible" name="Previdência_-_Gráficos" sheetId="6" r:id="rId7"/>
    <sheet state="visible" name="Previdência_(série)" sheetId="7" r:id="rId8"/>
    <sheet state="visible" name="Educação_-_Gráficos" sheetId="8" r:id="rId9"/>
    <sheet state="visible" name="Educação_(série)" sheetId="9" r:id="rId10"/>
    <sheet state="visible" name="Saúde_-_Gráficos" sheetId="10" r:id="rId11"/>
    <sheet state="visible" name="Saúde_(série)" sheetId="11" r:id="rId12"/>
    <sheet state="visible" name="restos_a_pagar" sheetId="12" r:id="rId13"/>
    <sheet state="visible" name="Conferência_RP" sheetId="13" r:id="rId14"/>
    <sheet state="visible" name="Disp__Caixa_Executivo" sheetId="14" r:id="rId15"/>
    <sheet state="visible" name="Seguridade" sheetId="15" r:id="rId16"/>
    <sheet state="visible" name="PIB_IPEADATA" sheetId="16" r:id="rId17"/>
    <sheet state="visible" name="Disp__Caixa" sheetId="17" r:id="rId18"/>
    <sheet state="visible" name="Seguridade_Complem" sheetId="18" r:id="rId19"/>
    <sheet state="visible" name="BO_(série)" sheetId="19" r:id="rId20"/>
    <sheet state="visible" name="BO_-_Gráficos" sheetId="20" r:id="rId21"/>
    <sheet state="visible" name="Função" sheetId="21" r:id="rId22"/>
    <sheet state="visible" name="Função_2" sheetId="22" r:id="rId23"/>
    <sheet state="visible" name="Resultados_Primário_e_Nomin" sheetId="23" r:id="rId24"/>
    <sheet state="visible" name="Dez_-_Regra_de_Ouro" sheetId="24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mes_ref" function="false" hidden="false" vbProcedure="false">saúde_-#REF!</definedName>
    <definedName name="rcl_pib" function="false" hidden="false" vbProcedure="false">RCL_Compl!$P$73</definedName>
    <definedName name="serie_RCL" function="false" hidden="false" vbProcedure="false">RCL!$A$1:$DX$35</definedName>
    <definedName name="tab_educacao" function="false" hidden="false" vbProcedure="false">educação_-#ref .$U$23:educação_-#REF!</definedName>
    <definedName name="tab_saude" function="false" hidden="false" vbProcedure="false">saúde_-#ref .$AE$26:saúde_-#REF!</definedName>
    <definedName name="texto_grafico_rcl_pib" function="false" hidden="false" vbProcedure="false">RCL_Compl!$M$14</definedName>
    <definedName name="mes_ref" localSheetId="14" function="false" hidden="false" vbProcedure="false">'https://tesouro.sharepoint.com/users/rubem.ziegler/downloads/síntese%20do%20rreo%20newver%20dez-2019.xlsm'#saúde_-#REF!</definedName>
    <definedName name="rcl_pib" localSheetId="14" function="false" hidden="false" vbProcedure="false">[11]RCL_Compl!$N$73</definedName>
  </definedNames>
  <calcPr refMode="A1" iterate="false" iterateCount="100" iterateDelta="0.001"/>
  <pivotCaches>
    <pivotCache cacheId="1" r:id="rId36"/>
  </pivotCaches>
  <extLst>
    <ext xmlns:loext="http://schemas.libreoffice.org/" uri="{7626C862-2A13-11E5-B345-FEFF819CDC9F}">
      <loext:extCalcPr stringRefSyntax="CalcA1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Tiago</author>
  </authors>
  <commentList>
    <comment ref="A1" authorId="0">
      <text>
        <r>
          <rPr>
            <b val="true"/>
            <sz val="9"/>
            <color rgb="FF000000"/>
            <rFont val="Tahoma"/>
            <family val="0"/>
          </rPr>
          <t xml:space="preserve">Tiago:
</t>
        </r>
        <r>
          <rPr>
            <sz val="9"/>
            <color rgb="FF000000"/>
            <rFont val="Tahoma"/>
            <family val="0"/>
          </rPr>
          <t xml:space="preserve">Atualizar texto do gráfico com F11 e J11.
Verificar posição dos títulos "RP Processados" e "não processados"</t>
        </r>
      </text>
    </comment>
  </commentList>
</comments>
</file>

<file path=xl/comments23.xml><?xml version="1.0" encoding="utf-8"?>
<comments xmlns="http://schemas.openxmlformats.org/spreadsheetml/2006/main" xmlns:xdr="http://schemas.openxmlformats.org/drawingml/2006/spreadsheetDrawing">
  <authors>
    <author>Tiago</author>
  </authors>
  <commentList>
    <comment ref="A1" authorId="0">
      <text>
        <r>
          <rPr>
            <b val="true"/>
            <sz val="9"/>
            <color rgb="FF000000"/>
            <rFont val="Tahoma"/>
            <family val="0"/>
          </rPr>
          <t xml:space="preserve">Tiago:
</t>
        </r>
        <r>
          <rPr>
            <sz val="9"/>
            <color rgb="FF000000"/>
            <rFont val="Tahoma"/>
            <family val="0"/>
          </rPr>
          <t xml:space="preserve">Verificar mês no texto no gráfico do Resultado Nominal.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Tiago</author>
  </authors>
  <commentList>
    <comment ref="B33" authorId="0">
      <text>
        <r>
          <rPr>
            <b val="true"/>
            <sz val="8"/>
            <color rgb="FF000000"/>
            <rFont val="Tahoma"/>
            <family val="0"/>
          </rPr>
          <t xml:space="preserve">Tiago:
</t>
        </r>
        <r>
          <rPr>
            <sz val="8"/>
            <color rgb="FF000000"/>
            <rFont val="Tahoma"/>
            <family val="0"/>
          </rPr>
          <t xml:space="preserve">Ajustar fórmula para pegar último valor da série (depois deixar de preguiça e fazer uma fórmula automática pra isso)
31.1.2012 Acho que agora vai, ele vai buscar a posição correspondente à última data. Ainda tem o problema de ter que copiar a última coluna.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Mateus Ziegler</author>
  </authors>
  <commentList>
    <comment ref="M72" authorId="0">
      <text>
        <r>
          <rPr>
            <b val="true"/>
            <sz val="9"/>
            <color rgb="FF000000"/>
            <rFont val="Segoe UI"/>
            <family val="0"/>
          </rPr>
          <t xml:space="preserve">Mateus Ziegler:
</t>
        </r>
        <r>
          <rPr>
            <sz val="9"/>
            <color rgb="FF000000"/>
            <rFont val="Segoe UI"/>
            <family val="0"/>
          </rPr>
          <t xml:space="preserve">Valor de 2018 disponível em:
https://ww2.ibge.gov.br/home/estatistica/indicadores/pib/pib-vol-val_201804_8.shtm
</t>
        </r>
      </text>
    </comment>
    <comment ref="P72" authorId="0">
      <text>
        <r>
          <rPr>
            <b val="true"/>
            <sz val="9"/>
            <color rgb="FF000000"/>
            <rFont val="Segoe UI"/>
            <family val="0"/>
          </rPr>
          <t xml:space="preserve">Mateus Ziegler:
</t>
        </r>
        <r>
          <rPr>
            <sz val="9"/>
            <color rgb="FF000000"/>
            <rFont val="Segoe UI"/>
            <family val="0"/>
          </rPr>
          <t xml:space="preserve">Pega o PIB de 12 meses do Ipeadata no mês de referência do relatório.
http://www.ipeadata.gov.br/ExibeSerie.aspx?serid=1136471525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8" authorId="0">
      <text>
        <r>
          <rPr>
            <sz val="12"/>
            <rFont val="Times New Roman"/>
            <family val="1"/>
          </rPr>
          <t xml:space="preserve">Comentário:
    ='https://tesouro-my.sharepoint.com/personal/henrique_a_santos_tesouro_gov_br/Documents/GEINF/Trabalho/Relatorio Resumido/Trabalho/Anexo 8 Educação (todas as fontes).xlsm'!minimo_MDE/1000000</t>
        </r>
      </text>
    </comment>
  </commentList>
</comments>
</file>

<file path=xl/sharedStrings.xml><?xml version="1.0" encoding="utf-8"?>
<sst xmlns="http://schemas.openxmlformats.org/spreadsheetml/2006/main" count="16161" uniqueCount="917">
  <si>
    <t>GNDDetBO</t>
  </si>
  <si>
    <t>GrupoDespesaCodigo</t>
  </si>
  <si>
    <t>GrupoDespesaNome</t>
  </si>
  <si>
    <t>MesLancamento</t>
  </si>
  <si>
    <t>ItemInformacaoCodigo</t>
  </si>
  <si>
    <t>ItemInformacaoNome</t>
  </si>
  <si>
    <t>Saldo</t>
  </si>
  <si>
    <t>Transf. a Estados, DF e Municípios</t>
  </si>
  <si>
    <t>3</t>
  </si>
  <si>
    <t>OUTRAS DESPESAS CORRENTES</t>
  </si>
  <si>
    <t>13</t>
  </si>
  <si>
    <t>DOTACAO ATUALIZADA</t>
  </si>
  <si>
    <t>Benefícios Previdenciários</t>
  </si>
  <si>
    <t>Demais Despesas Correntes</t>
  </si>
  <si>
    <t>23</t>
  </si>
  <si>
    <t>DESPESAS EMPENHADAS</t>
  </si>
  <si>
    <t>25</t>
  </si>
  <si>
    <t>DESPESAS LIQUIDADAS</t>
  </si>
  <si>
    <t>28</t>
  </si>
  <si>
    <t>DESPESAS PAGAS</t>
  </si>
  <si>
    <t>27</t>
  </si>
  <si>
    <t>DESPESAS INSCRITAS EM RP NAO PROCESSADOS</t>
  </si>
  <si>
    <t>Amortização da Dívida (Exceto Refinanciamento)</t>
  </si>
  <si>
    <t>6</t>
  </si>
  <si>
    <t>AMORTIZACAO/REFINANCIAMENTO DA DIVIDA</t>
  </si>
  <si>
    <t>Amortização da Dívida (Refinanciamento)</t>
  </si>
  <si>
    <t>Pessoal e Encargos Sociais</t>
  </si>
  <si>
    <t>1</t>
  </si>
  <si>
    <t>PESSOAL E ENCARGOS SOCIAIS</t>
  </si>
  <si>
    <t>Juros e Encargos da Dívida</t>
  </si>
  <si>
    <t>2</t>
  </si>
  <si>
    <t>JUROS E ENCARGOS DA DIVIDA</t>
  </si>
  <si>
    <t>Investimentos</t>
  </si>
  <si>
    <t>4</t>
  </si>
  <si>
    <t>INVESTIMENTOS</t>
  </si>
  <si>
    <t>Inversões Financeiras</t>
  </si>
  <si>
    <t>5</t>
  </si>
  <si>
    <t>INVERSOES FINANCEIRAS</t>
  </si>
  <si>
    <t>Reserva de Contingência</t>
  </si>
  <si>
    <t>9</t>
  </si>
  <si>
    <t>RESERVA DE CONTINGENCIA</t>
  </si>
  <si>
    <t>Item Informação Código</t>
  </si>
  <si>
    <t>Item Informação Nome</t>
  </si>
  <si>
    <t>Item informação</t>
  </si>
  <si>
    <t>Índice Item Inf</t>
  </si>
  <si>
    <t>PREVISAO INICIAL DA RECEITA</t>
  </si>
  <si>
    <t>Prev. Inicial da Receita</t>
  </si>
  <si>
    <t>PREVISAO ATUALIZADA DA RECEITA</t>
  </si>
  <si>
    <t>Prev. Atualizada da Receita</t>
  </si>
  <si>
    <t>RECEITA ORCAMENTARIA (BRUTA)</t>
  </si>
  <si>
    <t>Rec. Orcamentária Bruta</t>
  </si>
  <si>
    <t>DEDUCOES DA RECEITA</t>
  </si>
  <si>
    <t>Deduções da Receita</t>
  </si>
  <si>
    <t>RECEITA ARRECADADA POR DARF</t>
  </si>
  <si>
    <t>Rec. Arrecadada por DARF</t>
  </si>
  <si>
    <t>7</t>
  </si>
  <si>
    <t>RECEITA ARRECADADA POR GRU</t>
  </si>
  <si>
    <t>Rec. Arrecadada por GRU</t>
  </si>
  <si>
    <t>8</t>
  </si>
  <si>
    <t>PROJETO INICIAL DA LOA - FIXACAO DESPESA</t>
  </si>
  <si>
    <t>Projeto Inicial LOA - Fixação da Despesa</t>
  </si>
  <si>
    <t>DOTACAO INICIAL</t>
  </si>
  <si>
    <t>Dot. Inicial</t>
  </si>
  <si>
    <t>10</t>
  </si>
  <si>
    <t>DOTACAO SUPLEMENTAR</t>
  </si>
  <si>
    <t>Dot. Suplementar</t>
  </si>
  <si>
    <t>11</t>
  </si>
  <si>
    <t>DOTACAO ESPECIAL</t>
  </si>
  <si>
    <t>Dot. Especial</t>
  </si>
  <si>
    <t>12</t>
  </si>
  <si>
    <t>DOTACAO EXTRAORDINARIA</t>
  </si>
  <si>
    <t>Dot. Extraordinária</t>
  </si>
  <si>
    <t>14</t>
  </si>
  <si>
    <t>DOTACAO CANCELADA E REMANEJADA</t>
  </si>
  <si>
    <t>Dot. Cancelada e Remanejada</t>
  </si>
  <si>
    <t>15</t>
  </si>
  <si>
    <t>PROVISAO RECEBIDA</t>
  </si>
  <si>
    <t>Provisão Recebida</t>
  </si>
  <si>
    <t>16</t>
  </si>
  <si>
    <t>PROVISAO CONCEDIDA</t>
  </si>
  <si>
    <t>Provisão Concedida</t>
  </si>
  <si>
    <t>17</t>
  </si>
  <si>
    <t>DESTAQUE RECEBIDO</t>
  </si>
  <si>
    <t>Destaque Recebido</t>
  </si>
  <si>
    <t>18</t>
  </si>
  <si>
    <t>DESTAQUE CONCEDIDO</t>
  </si>
  <si>
    <t>Destaque Concedido</t>
  </si>
  <si>
    <t>19</t>
  </si>
  <si>
    <t>CREDITO DISPONIVEL</t>
  </si>
  <si>
    <t>Crédito Disponível</t>
  </si>
  <si>
    <t>20</t>
  </si>
  <si>
    <t>CREDITO INDISPONIVEL</t>
  </si>
  <si>
    <t>Crédito Indisponível</t>
  </si>
  <si>
    <t>21</t>
  </si>
  <si>
    <t>DESPESA ORCAMENTARIA DO EXERCICIO</t>
  </si>
  <si>
    <t>Desp. Orçamentária do Exercício</t>
  </si>
  <si>
    <t>22</t>
  </si>
  <si>
    <t>DESPESAS PRE-EMPENHADAS A EMPENHAR</t>
  </si>
  <si>
    <t>Desp. Pré-Empenadas a Empenhar</t>
  </si>
  <si>
    <t>24</t>
  </si>
  <si>
    <t>DESPESAS EMPENHADAS A LIQUIDAR</t>
  </si>
  <si>
    <t>Desp. Empenhadas a Liquidar</t>
  </si>
  <si>
    <t>26</t>
  </si>
  <si>
    <t>DESPESAS LIQUIDADAS A PAGAR</t>
  </si>
  <si>
    <t>Desp. Liquidadas a Pagar</t>
  </si>
  <si>
    <t>29</t>
  </si>
  <si>
    <t>DESPESAS EMPENHADAS (CONTROLE EMPENHO)</t>
  </si>
  <si>
    <t>Desp. Empenhadas (Controle Empenho)</t>
  </si>
  <si>
    <t>30</t>
  </si>
  <si>
    <t>DESPESAS EMPENHADAS A LIQUIDAR (CONTROLE EMP)</t>
  </si>
  <si>
    <t>Desp. Empenhadas a Liquidar (Controle Empenho)</t>
  </si>
  <si>
    <t>31</t>
  </si>
  <si>
    <t>DESPESAS LIQUIDADAS (CONTROLE EMPENHO)</t>
  </si>
  <si>
    <t>Desp. Liquidadas controle Empenho)</t>
  </si>
  <si>
    <t>32</t>
  </si>
  <si>
    <t>DESPESAS LIQUIDADAS A PAGAR(CONTROLE EMPENHO)</t>
  </si>
  <si>
    <t>Desp. Liquidadas a Pagar (Controle Empenho)</t>
  </si>
  <si>
    <t>34</t>
  </si>
  <si>
    <t>DESPESAS PAGAS (CONTROLE EMPENHO)</t>
  </si>
  <si>
    <t>Desp. Pagas (Controle Empenho)</t>
  </si>
  <si>
    <t>35</t>
  </si>
  <si>
    <t>RESTOS A PAGAR PROCESSADOS INSCRITOS</t>
  </si>
  <si>
    <t>RPP Inscritos</t>
  </si>
  <si>
    <t>36</t>
  </si>
  <si>
    <t>RESTOS A PAGAR PROCESSADOS REINSCRITOS</t>
  </si>
  <si>
    <t>RPP Reinscritos</t>
  </si>
  <si>
    <t>40</t>
  </si>
  <si>
    <t>RESTOS A PAGAR NAO PROCESSADOS INSCRITOS</t>
  </si>
  <si>
    <t>RPNP Inscritos</t>
  </si>
  <si>
    <t>41</t>
  </si>
  <si>
    <t>RESTOS A PAGAR NAO PROCESSADOS REINSCRITOS</t>
  </si>
  <si>
    <t>RPNP Reinscritos</t>
  </si>
  <si>
    <t>43</t>
  </si>
  <si>
    <t>RESTOS A PAGAR NAO PROCESSADOS A LIQUIDAR</t>
  </si>
  <si>
    <t>RPNP a Liquidar</t>
  </si>
  <si>
    <t>44</t>
  </si>
  <si>
    <t>RESTOS A PAGAR NAO PROCESSADOS LIQUIDADOS</t>
  </si>
  <si>
    <t>RPNP Liquidados</t>
  </si>
  <si>
    <t>45</t>
  </si>
  <si>
    <t>RESTOS A PAGAR NAO PROCES. LIQUIDADOS A PAGAR</t>
  </si>
  <si>
    <t>RPNP Liquidados a Pagar</t>
  </si>
  <si>
    <t>48</t>
  </si>
  <si>
    <t>RESTOS A PAGAR NAO PROCESSADOS BLOQUEADOS</t>
  </si>
  <si>
    <t>RPNP Bloqueados</t>
  </si>
  <si>
    <t>49</t>
  </si>
  <si>
    <t>RAP INSCRITOS LIQUIDOS DE CANCELAMENTOS</t>
  </si>
  <si>
    <t>RAP Inscritos Líquidos de Cancelamentos</t>
  </si>
  <si>
    <t>50</t>
  </si>
  <si>
    <t>RESTOS A PAGAR INSCRITOS (PROC E N PROC)</t>
  </si>
  <si>
    <t>RAP Inscritos (PROC e N PROC)</t>
  </si>
  <si>
    <t>51</t>
  </si>
  <si>
    <t>RESTOS A PAGAR CANCELADOS (PROC E N PROC)</t>
  </si>
  <si>
    <t>RAP Cancelados (PROC e N PROC)</t>
  </si>
  <si>
    <t>52</t>
  </si>
  <si>
    <t>RESTOS A PAGAR PAGOS (PROC E N PROC)</t>
  </si>
  <si>
    <t>RAP Pagos (PROC e N PROC)</t>
  </si>
  <si>
    <t>53</t>
  </si>
  <si>
    <t>RESTOS A PAGAR A PAGAR (PROC E N PROC)</t>
  </si>
  <si>
    <t>RAP a Pagar (PROC e N PROC)</t>
  </si>
  <si>
    <t>54</t>
  </si>
  <si>
    <t>VALORES LIQUIDADOS A PAGAR (EXERCICIO + RP)</t>
  </si>
  <si>
    <t>Valores Liquidados a Pagar (Exercício + RAP)</t>
  </si>
  <si>
    <t>55</t>
  </si>
  <si>
    <t>LIQUIDACOES TOTAIS (EXERCICIO E RPNP)</t>
  </si>
  <si>
    <t>Liquidações Totais (Exercício e RPNP)</t>
  </si>
  <si>
    <t>56</t>
  </si>
  <si>
    <t>PAGAMENTOS TOTAIS (EXERCICIO E RAP)</t>
  </si>
  <si>
    <t>Pagamentos Totais (Exercício e RAP)</t>
  </si>
  <si>
    <t>57</t>
  </si>
  <si>
    <t>DDR COMPROMETIDA POR EMPENHO (821120000)</t>
  </si>
  <si>
    <t>DDR Comprometida por Empenho (821120000)</t>
  </si>
  <si>
    <t>58</t>
  </si>
  <si>
    <t>DDR COMPROMETIDA P/LIQUIDACAO (821130000)</t>
  </si>
  <si>
    <t>DDR Comprometida por Liquidação (821130000)</t>
  </si>
  <si>
    <t>59</t>
  </si>
  <si>
    <t>DDR UTILIZADA (821140000)</t>
  </si>
  <si>
    <t>DDR Utilizada (821140000)</t>
  </si>
  <si>
    <t>60</t>
  </si>
  <si>
    <t>CONTROLE DDR</t>
  </si>
  <si>
    <t>Controle DDR</t>
  </si>
  <si>
    <t>61</t>
  </si>
  <si>
    <t>LIBERACAO DE COTA</t>
  </si>
  <si>
    <t>Liberação de Cota</t>
  </si>
  <si>
    <t>62</t>
  </si>
  <si>
    <t>LIBERACAO DE REPASSE</t>
  </si>
  <si>
    <t>Liberação de Repasse</t>
  </si>
  <si>
    <t>63</t>
  </si>
  <si>
    <t>LIBERACAO DE SUB-REPASSE</t>
  </si>
  <si>
    <t>Liberação de Sub-Repasse</t>
  </si>
  <si>
    <t>64</t>
  </si>
  <si>
    <t>LIBERACAO DE RP</t>
  </si>
  <si>
    <t>Liberação de RP</t>
  </si>
  <si>
    <t>65</t>
  </si>
  <si>
    <t>RECEBIMENTO DE COTA</t>
  </si>
  <si>
    <t>Recebimento de Cota</t>
  </si>
  <si>
    <t>66</t>
  </si>
  <si>
    <t>RECEBIMENTO DE REPASSE</t>
  </si>
  <si>
    <t>Recebimento de Repasse</t>
  </si>
  <si>
    <t>67</t>
  </si>
  <si>
    <t>RECEBIMENTO DE SUB-REPASSE</t>
  </si>
  <si>
    <t>Recebimento de Sub-Repasse</t>
  </si>
  <si>
    <t>68</t>
  </si>
  <si>
    <t>RECEBIMENTO DE RP</t>
  </si>
  <si>
    <t>Recebimento de RP</t>
  </si>
  <si>
    <t>69</t>
  </si>
  <si>
    <t>LIM. ORC. - TOTAL A UTILIZAR (NA UG DA UO)</t>
  </si>
  <si>
    <t>Lim. Orç. - Total a Utilizar (Na UG da UO)</t>
  </si>
  <si>
    <t>70</t>
  </si>
  <si>
    <t>LIM. ORC. - TOTAL UTILIZADO (EMPENHADO)</t>
  </si>
  <si>
    <t>Lim. Orç. - Total Utilizado (Empenhado)</t>
  </si>
  <si>
    <t>71</t>
  </si>
  <si>
    <t>LIMITES DE SAQUE (OFSS, DIVIDA, BACEN E PREV)</t>
  </si>
  <si>
    <t>Limites de Saque (OFSS, Dívida, Bacen e Prev)</t>
  </si>
  <si>
    <t>72</t>
  </si>
  <si>
    <t>#SG "LIMITE DE SAQUE DIVERSOS"</t>
  </si>
  <si>
    <t>#SG "Limite de Saque Diversos"</t>
  </si>
  <si>
    <t>73</t>
  </si>
  <si>
    <t>DEMAIS CONTAS BANCARIAS</t>
  </si>
  <si>
    <t>Demais Contas Bancárias</t>
  </si>
  <si>
    <t>74</t>
  </si>
  <si>
    <t>APLICACOES FINANCEIRAS DE LIQUIDEZ IMEDIATA</t>
  </si>
  <si>
    <t>Aplicações Financeiras de Liquidez Imediata</t>
  </si>
  <si>
    <t>75</t>
  </si>
  <si>
    <t>EMPRESTIMOS CONCEDIDOS A RECEBER</t>
  </si>
  <si>
    <t>Empréstimos Concedidos a Receber</t>
  </si>
  <si>
    <t>76</t>
  </si>
  <si>
    <t>FINANCIAMENTOS CONCEDIDOS - RECURSOS FAT</t>
  </si>
  <si>
    <t>Financiamentos Concedidos - Recursos FAT</t>
  </si>
  <si>
    <t>77</t>
  </si>
  <si>
    <t>DEPOSITOS ESPECIAIS DO FAT - PROGER URBANO</t>
  </si>
  <si>
    <t>Depósitos Especiais do FAT - PROGER Urbano</t>
  </si>
  <si>
    <t>78</t>
  </si>
  <si>
    <t>DEPOSITOS ESPECIAS DO FAT - PROGER RURAL</t>
  </si>
  <si>
    <t>Depósitos Especiais do FAT - PROGER Rural</t>
  </si>
  <si>
    <t>79</t>
  </si>
  <si>
    <t>DEPOSITOS ESPECIAIS DO FAT - PRONAF</t>
  </si>
  <si>
    <t>Depósitos Especiais do FAT - PRONAF</t>
  </si>
  <si>
    <t>80</t>
  </si>
  <si>
    <t>FINANCIAMENTOS CONCEDIDOS - EXCETO FAT</t>
  </si>
  <si>
    <t>Financiamentos Concedidos - Exceto FAT</t>
  </si>
  <si>
    <t>91</t>
  </si>
  <si>
    <t>MOVIMENTACAO LIQ. CREDITOS (RECEB (-) CONCED)</t>
  </si>
  <si>
    <t>Movim. Líq. Créditos (Receb (-) Conced)</t>
  </si>
  <si>
    <t>92</t>
  </si>
  <si>
    <t>OPERACOES RECEBIDAS A EXECUTAR REC. EXTERNOS</t>
  </si>
  <si>
    <t>Operações Recebidas a Executar Rec. Externos</t>
  </si>
  <si>
    <t>93</t>
  </si>
  <si>
    <t>OPERACOES RECEBIDAS EXECUTADAS REC. EXTERNOS</t>
  </si>
  <si>
    <t>Operações Recebidas Executadas Rec. Externos</t>
  </si>
  <si>
    <t>94</t>
  </si>
  <si>
    <t>OPERACOES EXTERNAS EXECUTADAS A COMPROVAR</t>
  </si>
  <si>
    <t>Operações Externas Executadas a Comprovar</t>
  </si>
  <si>
    <t>95</t>
  </si>
  <si>
    <t>OPERACOES EXTERNAS EXECUTADAS COMPROVADAS</t>
  </si>
  <si>
    <t>Operações Externas Executadas a Comprovadas</t>
  </si>
  <si>
    <t>96</t>
  </si>
  <si>
    <t>OPERACOES CONCEDIDAS A EXECUTAR CONTRAPARTIDA</t>
  </si>
  <si>
    <t>Operações Concedidas a Executar Contrapartida</t>
  </si>
  <si>
    <t>97</t>
  </si>
  <si>
    <t>OPERACOES CONCEDIDAS EXECUTADAS CONTRAPARTIDA</t>
  </si>
  <si>
    <t>Operações Concedidas Executadas Contrapartida</t>
  </si>
  <si>
    <t>98</t>
  </si>
  <si>
    <t>COTA DIRET. ARRECADADA E RECURSOS DE RP LIB.</t>
  </si>
  <si>
    <t>Cota Diret. Arrecadada e Recursos de RP Lib.</t>
  </si>
  <si>
    <t>102</t>
  </si>
  <si>
    <t>RECEITA LANCADA</t>
  </si>
  <si>
    <t>Receita Lançada</t>
  </si>
  <si>
    <t>103</t>
  </si>
  <si>
    <t>SUBCONTA DA DIVIDA</t>
  </si>
  <si>
    <t>Subconta da Dívida</t>
  </si>
  <si>
    <t>RECEITA ORCAMENTARIA (LIQUIDA)</t>
  </si>
  <si>
    <t>Rec. Orcamentária Liquida</t>
  </si>
  <si>
    <t>Dot. Atualizada</t>
  </si>
  <si>
    <t>Desp. Empenhadas</t>
  </si>
  <si>
    <t>Desp. Liquidadas</t>
  </si>
  <si>
    <t>Desp. Inscritas em RPNP</t>
  </si>
  <si>
    <t>Desp. Pagas</t>
  </si>
  <si>
    <t>33</t>
  </si>
  <si>
    <t>DESPESAS INSCRITAS EM RPNP (CONTROLE EMPENHO)</t>
  </si>
  <si>
    <t>Desp. Inscritas em RPNP (Controle Empenho)</t>
  </si>
  <si>
    <t>37</t>
  </si>
  <si>
    <t>RESTOS A PAGAR PROCESSADOS CANCELADOS</t>
  </si>
  <si>
    <t>RPP Cancelados</t>
  </si>
  <si>
    <t>38</t>
  </si>
  <si>
    <t>RESTOS A PAGAR PROCESSADOS PAGOS</t>
  </si>
  <si>
    <t>RPP Pagos</t>
  </si>
  <si>
    <t>39</t>
  </si>
  <si>
    <t>RESTOS A PAGAR PROCESSADOS A PAGAR</t>
  </si>
  <si>
    <t>RPP a Pagar</t>
  </si>
  <si>
    <t>42</t>
  </si>
  <si>
    <t>RESTOS A PAGAR NAO PROCESSADOS CANCELADOS</t>
  </si>
  <si>
    <t>RPNP Cancelados</t>
  </si>
  <si>
    <t>46</t>
  </si>
  <si>
    <t>RESTOS A PAGAR NAO PROCESSADOS PAGOS</t>
  </si>
  <si>
    <t>RPNP Pagos</t>
  </si>
  <si>
    <t>47</t>
  </si>
  <si>
    <t>RESTOS A PAGAR NAO PROCESSADOS A PAGAR</t>
  </si>
  <si>
    <t>RPNP a Pagar</t>
  </si>
  <si>
    <t>MÊS DE REFERÊNCIA</t>
  </si>
  <si>
    <t>RECEITA CORRENTE (I)</t>
  </si>
  <si>
    <t xml:space="preserve">      Receita Tributária</t>
  </si>
  <si>
    <t xml:space="preserve">      Receita de Contribuições</t>
  </si>
  <si>
    <t xml:space="preserve">      Receita Patrimonial</t>
  </si>
  <si>
    <t xml:space="preserve">      Receita Agropecuária</t>
  </si>
  <si>
    <t xml:space="preserve">      Receita Industrial</t>
  </si>
  <si>
    <t xml:space="preserve">      Receita de Serviços</t>
  </si>
  <si>
    <t xml:space="preserve">      Transferências Correntes</t>
  </si>
  <si>
    <t xml:space="preserve">      Receitas Correntes a Classificar¹</t>
  </si>
  <si>
    <t xml:space="preserve">      Outras Receitas Correntes</t>
  </si>
  <si>
    <t>DEDUÇÕES (II)</t>
  </si>
  <si>
    <t xml:space="preserve">      Transf. Constitucionais e Legais²</t>
  </si>
  <si>
    <t xml:space="preserve">      Contrib. Emp. e Trab. p/ Seg. Social³</t>
  </si>
  <si>
    <t xml:space="preserve">      Contrib. Plano Seg. Social do Servidor4</t>
  </si>
  <si>
    <t xml:space="preserve">            Servidor</t>
  </si>
  <si>
    <t xml:space="preserve">            Patronal</t>
  </si>
  <si>
    <t xml:space="preserve">      Compensação Financeira RGPS/RPPS</t>
  </si>
  <si>
    <t xml:space="preserve">      Contr. p/ Custeio Pensões Militares</t>
  </si>
  <si>
    <t xml:space="preserve">      Contribuição p/ PIS/PASEP</t>
  </si>
  <si>
    <t xml:space="preserve">            PIS</t>
  </si>
  <si>
    <t xml:space="preserve">            PASEP  </t>
  </si>
  <si>
    <t>RECEITA CORRENTE LÍQUIDA (III) = (I - II)</t>
  </si>
  <si>
    <t>RCL</t>
  </si>
  <si>
    <t>RCL Quadr</t>
  </si>
  <si>
    <t>Mês atual da RCL</t>
  </si>
  <si>
    <t>Receita Corrente</t>
  </si>
  <si>
    <t>Deduções</t>
  </si>
  <si>
    <t>DEZEMBRO/2009</t>
  </si>
  <si>
    <t>JANEIRO/2010</t>
  </si>
  <si>
    <t>FEVEREIRO/2010</t>
  </si>
  <si>
    <t>MARÇO/2010</t>
  </si>
  <si>
    <t>ABRIL/2010</t>
  </si>
  <si>
    <t>MAIO/2010</t>
  </si>
  <si>
    <t>JUNHO/2010</t>
  </si>
  <si>
    <t>JULHO/2010</t>
  </si>
  <si>
    <t>AGOSTO/2010</t>
  </si>
  <si>
    <t>SETEMBRO/2010</t>
  </si>
  <si>
    <t>OUTUBRO/2010</t>
  </si>
  <si>
    <t>NOVEMBRO/2010</t>
  </si>
  <si>
    <t>DEZEMBRO/2010</t>
  </si>
  <si>
    <t>JANEIRO/2011</t>
  </si>
  <si>
    <t>FEVEREIRO/2011</t>
  </si>
  <si>
    <t>MARÇO/2011</t>
  </si>
  <si>
    <t>ABRIL/2011</t>
  </si>
  <si>
    <t>MAIO/2011</t>
  </si>
  <si>
    <t>JUNHO/2011</t>
  </si>
  <si>
    <t>JULHO/2011</t>
  </si>
  <si>
    <t>AGOSTO/2011</t>
  </si>
  <si>
    <t>SETEMBRO/2011</t>
  </si>
  <si>
    <t>OUTUBRO/2011</t>
  </si>
  <si>
    <t>NOVEMBRO/2011</t>
  </si>
  <si>
    <t>DEZEMBRO/2011</t>
  </si>
  <si>
    <t>JANEIRO/2012</t>
  </si>
  <si>
    <t>FEVEREIRO/2012</t>
  </si>
  <si>
    <t>MARÇO/2012</t>
  </si>
  <si>
    <t>ABRIL/2012</t>
  </si>
  <si>
    <t>MAIO/2012</t>
  </si>
  <si>
    <t>JUNHO/2012</t>
  </si>
  <si>
    <t>JULHO/2012</t>
  </si>
  <si>
    <t>AGOSTO/2012</t>
  </si>
  <si>
    <t>SETEMBRO/2012</t>
  </si>
  <si>
    <t>OUTUBRO/2012</t>
  </si>
  <si>
    <t>NOVEMBRO/2012</t>
  </si>
  <si>
    <t>DEZEMBRO/2012</t>
  </si>
  <si>
    <t>FEVEREIRO/2013</t>
  </si>
  <si>
    <t>MARÇO/2013</t>
  </si>
  <si>
    <t>ABRIL/2013</t>
  </si>
  <si>
    <t>MAIO/2013</t>
  </si>
  <si>
    <t>JUNHO/2013</t>
  </si>
  <si>
    <t>JULHO/2013</t>
  </si>
  <si>
    <t>AGOSTO/2013</t>
  </si>
  <si>
    <t>SETEMBRO/2013</t>
  </si>
  <si>
    <t>OUTUBRO/2013</t>
  </si>
  <si>
    <t>NOVEMBRO/2013</t>
  </si>
  <si>
    <t>DEZEMBRO/2013</t>
  </si>
  <si>
    <t>JANEIRO/2014</t>
  </si>
  <si>
    <t>FEVEREIRO/2014</t>
  </si>
  <si>
    <t>MARÇO/2014</t>
  </si>
  <si>
    <t>ABRIL/2014</t>
  </si>
  <si>
    <t>MAIO/2014</t>
  </si>
  <si>
    <t>JUNHO/2014</t>
  </si>
  <si>
    <t>JULHO/2014</t>
  </si>
  <si>
    <t>AGOSTO/2014</t>
  </si>
  <si>
    <t>SETEMBRO/2014</t>
  </si>
  <si>
    <t>OUTUBRO/2014</t>
  </si>
  <si>
    <t>NOVEMBRO/2014</t>
  </si>
  <si>
    <t>DEZEMBRO/2014</t>
  </si>
  <si>
    <t>JANEIRO/2015</t>
  </si>
  <si>
    <t>FEVEREIRO/2015</t>
  </si>
  <si>
    <t>MARÇO/2015</t>
  </si>
  <si>
    <t>ABRIL/2015</t>
  </si>
  <si>
    <t>MAIO/2015</t>
  </si>
  <si>
    <t>JUNHO/2015</t>
  </si>
  <si>
    <t>JULHO/2015</t>
  </si>
  <si>
    <t>AGOSTO/2015</t>
  </si>
  <si>
    <t>SETEMBRO/2015</t>
  </si>
  <si>
    <t>OUTUBRO/2015</t>
  </si>
  <si>
    <t>NOVEMBRO/2015</t>
  </si>
  <si>
    <t>DEZEMBRO/2015</t>
  </si>
  <si>
    <t>JANEIRO/2016</t>
  </si>
  <si>
    <t>FEVEREIRO/2016</t>
  </si>
  <si>
    <t>MARÇO/2016</t>
  </si>
  <si>
    <t>ABRIL/2016</t>
  </si>
  <si>
    <t>MAIO/2016</t>
  </si>
  <si>
    <t>JUNHO/2016</t>
  </si>
  <si>
    <t>JULHO/2016</t>
  </si>
  <si>
    <t>AGOSTO/16</t>
  </si>
  <si>
    <t>SETEMBRO/2016</t>
  </si>
  <si>
    <t>OUTUBRO/2016</t>
  </si>
  <si>
    <t>NOVEMBRO/2016</t>
  </si>
  <si>
    <t>DEZEMBRO/2016</t>
  </si>
  <si>
    <t>JANEIRO/2017</t>
  </si>
  <si>
    <t>FEVEREIRO/2017</t>
  </si>
  <si>
    <t>MARÇO/2017</t>
  </si>
  <si>
    <t>ABRIL/2017</t>
  </si>
  <si>
    <t>MAIO/2017</t>
  </si>
  <si>
    <t>JUNHO/2017</t>
  </si>
  <si>
    <t>JULHO/2017</t>
  </si>
  <si>
    <t>AGOSTO/2017</t>
  </si>
  <si>
    <t>SETEMBRO/2017</t>
  </si>
  <si>
    <t>OUTUBRO/2017</t>
  </si>
  <si>
    <t>NOVEMBRO/2017</t>
  </si>
  <si>
    <t>DEZEMBRO/2017</t>
  </si>
  <si>
    <t>JANEIRO/2018</t>
  </si>
  <si>
    <t>FEVEREIRO/2018</t>
  </si>
  <si>
    <t>MARÇO/2018</t>
  </si>
  <si>
    <t>ABRIL/2018</t>
  </si>
  <si>
    <t>Deduções / Receita (mês)</t>
  </si>
  <si>
    <t>Deduções / Receita (12m)</t>
  </si>
  <si>
    <t>fgfg</t>
  </si>
  <si>
    <t>Neste gráfico, ajustar dados para buscar até o último mês preenchido, e ajustar, no gráfico, para o rótulo do último mês aparecer.</t>
  </si>
  <si>
    <t>Ano</t>
  </si>
  <si>
    <t>Receita Bruta</t>
  </si>
  <si>
    <t>Receita Líquida (RCL)</t>
  </si>
  <si>
    <t>Valores em R$ Bilhão</t>
  </si>
  <si>
    <t>Receita Corrente Bruta</t>
  </si>
  <si>
    <t xml:space="preserve">      Receitas Correntes a Classificar</t>
  </si>
  <si>
    <t xml:space="preserve">      Demais Receitas Correntes</t>
  </si>
  <si>
    <t xml:space="preserve">      Transf. Constitucionais e Legais</t>
  </si>
  <si>
    <t xml:space="preserve">      Contrib. Emp. e Trab. p/ Seg. Social</t>
  </si>
  <si>
    <t>Gráfico 44 - Evolução da Receita Corrente, Deduções e Relação ao PIB</t>
  </si>
  <si>
    <t xml:space="preserve">      Contrib. Plano Seg. Social do Servidor</t>
  </si>
  <si>
    <t>Dados em: R$ bilhões</t>
  </si>
  <si>
    <t>Fonte: RREO e IBGE</t>
  </si>
  <si>
    <t xml:space="preserve">      Outras Deduções</t>
  </si>
  <si>
    <t>Receita Corrente Líquida (RCL)</t>
  </si>
  <si>
    <t>Detalhamento da Receita Corrente Líquida</t>
  </si>
  <si>
    <t>Elaboração: Própria</t>
  </si>
  <si>
    <t>Tabela 10 - Receita Corrente Líquida</t>
  </si>
  <si>
    <t>Fonte: SIAFI</t>
  </si>
  <si>
    <t xml:space="preserve">RECEITA CORRENTE LÍQUIDA </t>
  </si>
  <si>
    <t>Fonte: RREO</t>
  </si>
  <si>
    <t xml:space="preserve"> Receita Corrente Líquida (RCL)</t>
  </si>
  <si>
    <t>PIB</t>
  </si>
  <si>
    <t>https://ww2.ibge.gov.br/home/estatistica/indicadores/pib/pib-vol-val_201801_8.shtm</t>
  </si>
  <si>
    <t>% RCL/PIB</t>
  </si>
  <si>
    <t>OU</t>
  </si>
  <si>
    <t>https://www.ibge.gov.br/estatisticas/economicas/contas-nacionais/9300-contas-nacionais-trimestrais.html?=&amp;t=resultados</t>
  </si>
  <si>
    <t>RCL - 2012 ATÉ HOJE</t>
  </si>
  <si>
    <t>DEZ/2012</t>
  </si>
  <si>
    <t>DEZ/2013</t>
  </si>
  <si>
    <t>DEZ/2014</t>
  </si>
  <si>
    <t>DEZ/2015</t>
  </si>
  <si>
    <t>DEZ/2016</t>
  </si>
  <si>
    <t>DEZ/2017</t>
  </si>
  <si>
    <t>DEZ/2018</t>
  </si>
  <si>
    <t>DEZ/2019</t>
  </si>
  <si>
    <t>DEZ/2020</t>
  </si>
  <si>
    <t>AGO/2021</t>
  </si>
  <si>
    <t>RGF</t>
  </si>
  <si>
    <t>%/RCL</t>
  </si>
  <si>
    <t>Reportagem</t>
  </si>
  <si>
    <t>RPPS</t>
  </si>
  <si>
    <t>MÊS DE REFERÊNCIA (Ano Anterior)</t>
  </si>
  <si>
    <t>Mês de :</t>
  </si>
  <si>
    <t>Descrição</t>
  </si>
  <si>
    <t>Nome da Coluna</t>
  </si>
  <si>
    <t>Coluna a ser buscada</t>
  </si>
  <si>
    <t>Ano Atual</t>
  </si>
  <si>
    <t>Ano Anterior</t>
  </si>
  <si>
    <t>inv</t>
  </si>
  <si>
    <t>Receitas RGPS</t>
  </si>
  <si>
    <t>Despesas RGPS</t>
  </si>
  <si>
    <t>Déficit RGPS</t>
  </si>
  <si>
    <t>GRÁFICO DO ANO</t>
  </si>
  <si>
    <t>Receitas RPPS Civis</t>
  </si>
  <si>
    <t>Despesas RPPS Civis</t>
  </si>
  <si>
    <t>Déficit RPPS Civis</t>
  </si>
  <si>
    <t>Receitas Militares</t>
  </si>
  <si>
    <t>Receitas - Militares</t>
  </si>
  <si>
    <t>Despesas Militares</t>
  </si>
  <si>
    <t>Despesas - Militares</t>
  </si>
  <si>
    <t>Déficit Militares</t>
  </si>
  <si>
    <t>Receitas FCDF</t>
  </si>
  <si>
    <t>Despesas FCDF</t>
  </si>
  <si>
    <t>Déficit FCDF</t>
  </si>
  <si>
    <t>Coluna4</t>
  </si>
  <si>
    <t>Ano Anterior x Ano Ante Anterior</t>
  </si>
  <si>
    <t>Últimos 12 Meses</t>
  </si>
  <si>
    <t>Receitas RGPS 12 meses</t>
  </si>
  <si>
    <t>Despesas RGPS 12 meses</t>
  </si>
  <si>
    <t>Últimos 12 meses</t>
  </si>
  <si>
    <t>Receitas RPPS Civis 12 meses</t>
  </si>
  <si>
    <t>Despesas RPPS Civis 12 meses</t>
  </si>
  <si>
    <t>Receitas Militares 12 meses</t>
  </si>
  <si>
    <t>Despesas Militares 12 meses</t>
  </si>
  <si>
    <t>Receitas FCDF 12 meses</t>
  </si>
  <si>
    <t>Despesas FCDF 12 meses</t>
  </si>
  <si>
    <t>FCDF 2017 e 2018</t>
  </si>
  <si>
    <t>Filtro do relatório:</t>
  </si>
  <si>
    <t>({Órgão UGE - Orçam. Fiscal S/N} = PERTENCE) E ({Item Informação} = DESPESAS LIQUIDADAS, RECEITA ORCAMENTARIA (LIQUIDA)) E ({Elemento Despesa} &lt;&gt; 04:CONTRATACAO POR TEMPO DETERMINADO - PES.CIVIL, 07:CONTRIBUICAO A ENTIDADE FECHADA PREVIDENCIA, 11:VENCIMENTOS E VANTAGENS FIXAS - PESSOAL CIVIL, 13:OBRIGACOES PATRONAIS, 16:OUTRAS DESPESAS VARIAVEIS - PESSOAL CIVIL, 39:OUTROS SERVICOS DE TERCEIROS PJ - OP.INT.ORC., 67:DEPOSITOS COMPULSORIOS, 96:RESSARCIMENTO DESPESAS PESSOAL REQUISITADO) E ({Ação Governo} &lt;&gt; 09HB:CONTRIBUICAO DA UNIAO, DE SUAS AUTARQUIAS E FUNDACOES PARA O) E (({Unidade Orçamentária} = 73901:FUNDO CONSTITUCIONAL DO DISTRITO FEDERAL-FCDF) OU ({Fonte Detalhe} = 739010)) E ({Mês Lançamento} = JAN/2019, JAN/2018, FEV/2018, MAR/2018, ABR/2018, MAI/2018, JUN/2018, JUL/2018, AGO/2018, SET/2018, OUT/2018, NOV/2018, DEZ/2018, JAN/2017, FEV/2017, MAR/2017, ABR/2017, MAI/2017, JUN/2017, JUL/2017, AGO/2017, SET/2017, OUT/2017, NOV/2017, DEZ/2017)</t>
  </si>
  <si>
    <t>Páginas:</t>
  </si>
  <si>
    <t>Ano Lançamento: 2018</t>
  </si>
  <si>
    <t>RPPS - Linhas - FCDF - 2019</t>
  </si>
  <si>
    <t>Movimento Líquido - (R$ milhares) (Item Inf.)</t>
  </si>
  <si>
    <t>TOTAL</t>
  </si>
  <si>
    <t>JAN/2017</t>
  </si>
  <si>
    <t>FEV/2017</t>
  </si>
  <si>
    <t>MAR/2017</t>
  </si>
  <si>
    <t>ABR/2017</t>
  </si>
  <si>
    <t>MAI/2017</t>
  </si>
  <si>
    <t>JUN/2017</t>
  </si>
  <si>
    <t>JUL/2017</t>
  </si>
  <si>
    <t>AGO/2017</t>
  </si>
  <si>
    <t>SET/2017</t>
  </si>
  <si>
    <t>OUT/2017</t>
  </si>
  <si>
    <t>NOV/2017</t>
  </si>
  <si>
    <t>JAN/2018</t>
  </si>
  <si>
    <t>FEV/2018</t>
  </si>
  <si>
    <t>MAR/2018</t>
  </si>
  <si>
    <t>ABR/2018</t>
  </si>
  <si>
    <t>MAI/2018</t>
  </si>
  <si>
    <t>JUN/2018</t>
  </si>
  <si>
    <t>JUL/2018</t>
  </si>
  <si>
    <t>AGO/2018</t>
  </si>
  <si>
    <t>SET/2018</t>
  </si>
  <si>
    <t>OUT/2018</t>
  </si>
  <si>
    <t>NOV/2018</t>
  </si>
  <si>
    <t>JAN/2019</t>
  </si>
  <si>
    <t>Receitas RPPS FCDF</t>
  </si>
  <si>
    <t>Despesas RPPS FCDF</t>
  </si>
  <si>
    <t>Resultado</t>
  </si>
  <si>
    <t>FCDF - Últimos 12 meses</t>
  </si>
  <si>
    <t>TOTAL 12 MESES</t>
  </si>
  <si>
    <t>FEV/2019</t>
  </si>
  <si>
    <t>MAR/2019</t>
  </si>
  <si>
    <t>ABR/2019</t>
  </si>
  <si>
    <t>MAI/2019</t>
  </si>
  <si>
    <t>JUN/2019</t>
  </si>
  <si>
    <t>ANO ANTERIOR</t>
  </si>
  <si>
    <t>ANO ATUAL</t>
  </si>
  <si>
    <t>RPPS Civil e Militares 2017 e 2018</t>
  </si>
  <si>
    <t>RECEITAS E DESPESAS PREVIDENCIÁRIAS DO REGIME PRÓPRIO DE PREVIDÊNCIA DOS SERVIDORES PÚBLICOS CIVIS</t>
  </si>
  <si>
    <t>Em R$ milhões</t>
  </si>
  <si>
    <t>Receitas do RPPS Civil</t>
  </si>
  <si>
    <t>Despesas do RPPS Civil</t>
  </si>
  <si>
    <t>Resultado RPPS Civil</t>
  </si>
  <si>
    <t>RECEITAS E DESPESAS DE PENSÕES E APOSENTADORIA ASSOCIADAS AOS MILITARES DAS FORÇAS ARMADAS E SEUS DEPENDENTES</t>
  </si>
  <si>
    <t>Receitas Pensões Militares</t>
  </si>
  <si>
    <t>Despesas com Pensões Militares</t>
  </si>
  <si>
    <t>Despesas com Inativos Militares</t>
  </si>
  <si>
    <t>Resultado Militares</t>
  </si>
  <si>
    <t>RPPS Civil e Militares - Últimos 12 Meses</t>
  </si>
  <si>
    <t>Anexo 4 - RPPS - Linhas - 2019</t>
  </si>
  <si>
    <t>Movimento R$ (Item Informação)</t>
  </si>
  <si>
    <t>ANTERIOR</t>
  </si>
  <si>
    <t>ATUAL</t>
  </si>
  <si>
    <t>Receitas RPPS Civil</t>
  </si>
  <si>
    <t>Despesas RPPS Civil</t>
  </si>
  <si>
    <t>Despesas Pensões Militares</t>
  </si>
  <si>
    <t>Despesas Inativos Militares</t>
  </si>
  <si>
    <t>Mês de Referência</t>
  </si>
  <si>
    <t>Movimento Receitas RGPS</t>
  </si>
  <si>
    <t>Movimento Despesas RGPS</t>
  </si>
  <si>
    <t>Despesas RGPS 12 Meses</t>
  </si>
  <si>
    <t>Movimento Receitas RPPS Civis</t>
  </si>
  <si>
    <t>Movimento Despesas RPPS Civis</t>
  </si>
  <si>
    <t>Movimento Receitas - Militares</t>
  </si>
  <si>
    <t>Movimento Despesas Militares</t>
  </si>
  <si>
    <t>Movimento Receitas FCDF</t>
  </si>
  <si>
    <t>Movimento Despesas FCDF</t>
  </si>
  <si>
    <t>Column10</t>
  </si>
  <si>
    <t>Column11</t>
  </si>
  <si>
    <t>Column12</t>
  </si>
  <si>
    <t>Column13</t>
  </si>
  <si>
    <t>Mês</t>
  </si>
  <si>
    <t>Número_Mês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</si>
  <si>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</si>
  <si>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</si>
  <si>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</si>
  <si>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</si>
  <si>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</si>
  <si>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</si>
  <si>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</si>
  <si>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</si>
  <si>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</si>
  <si>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</si>
  <si>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</si>
  <si>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</si>
  <si>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Tabela 21 – Despesas com educação e cumprimento do limite mínimo constitucional </t>
  </si>
  <si>
    <t>R$ bilhões</t>
  </si>
  <si>
    <t>Limite de Educação</t>
  </si>
  <si>
    <t>DEZ/2008</t>
  </si>
  <si>
    <t>DEZ/2009</t>
  </si>
  <si>
    <t>DEZ/2010</t>
  </si>
  <si>
    <t>DEZ/2011</t>
  </si>
  <si>
    <t>SET/2021</t>
  </si>
  <si>
    <t>Valores</t>
  </si>
  <si>
    <t xml:space="preserve">Receita Líquida de Impostos (RLI) </t>
  </si>
  <si>
    <t>Limite Mínimo (ao final do Exercício)</t>
  </si>
  <si>
    <t>Despesas Executadas com Educação</t>
  </si>
  <si>
    <t>Limite Mínimo (em Dezembro)*</t>
  </si>
  <si>
    <t>Limite Máximo Percentual</t>
  </si>
  <si>
    <t>Despesa Excedente ao Mínimo</t>
  </si>
  <si>
    <t>* Na vigência da EC Nº 95, o limite mínimo com educação, a partir de 2018, será o limite mínimo de 2017 corrigido pelo IPCA. No período de 2008 a 2017, o mínimo corresponde a 18% da RLI do exercício.</t>
  </si>
  <si>
    <t>Diferença para Cumprimento (final do exercício)</t>
  </si>
  <si>
    <t>COLUNA A SER BUSCADA NA TABELA</t>
  </si>
  <si>
    <t>Período</t>
  </si>
  <si>
    <t>RLI</t>
  </si>
  <si>
    <t>Limite Mínimo (em dezembro)</t>
  </si>
  <si>
    <t>Despesas Executadas</t>
  </si>
  <si>
    <t>% do Limite Atingido</t>
  </si>
  <si>
    <t>Mínimo</t>
  </si>
  <si>
    <t>Executado Acumulado</t>
  </si>
  <si>
    <t>Exec no Mês</t>
  </si>
  <si>
    <t>Limite Mínimo</t>
  </si>
  <si>
    <t>Valores p/ gráfico simplificado</t>
  </si>
  <si>
    <t>Limite Mínimo Percentual</t>
  </si>
  <si>
    <t>Despesa Executada Percentual</t>
  </si>
  <si>
    <t>DATA</t>
  </si>
  <si>
    <t>EDUCAÇÃO - DOTAÇÃO ATUALIZADA</t>
  </si>
  <si>
    <t>EDUCAÇÃO - DESPESAS EXECUTADAS</t>
  </si>
  <si>
    <t>EDUCAÇÃO - LIMITE MÍNIMO</t>
  </si>
  <si>
    <t xml:space="preserve">Tabela 20 – Despesas com ações e serviços públicos de saúde e o cumprimento dos limites mínimos constitucionais </t>
  </si>
  <si>
    <t>Limite de Saúde</t>
  </si>
  <si>
    <t>Jan</t>
  </si>
  <si>
    <t>Despesas Executadas com Saúde</t>
  </si>
  <si>
    <t>Fev</t>
  </si>
  <si>
    <t>Limite Mínimo (em  Dezembro)</t>
  </si>
  <si>
    <t>Mar</t>
  </si>
  <si>
    <t>Despesa Excedente ao Mínimo (no ano)</t>
  </si>
  <si>
    <t>Abr</t>
  </si>
  <si>
    <t>Mai</t>
  </si>
  <si>
    <t>Jun</t>
  </si>
  <si>
    <t>% Excedente</t>
  </si>
  <si>
    <t>Jul</t>
  </si>
  <si>
    <t>Despesa Excedente Acumulada</t>
  </si>
  <si>
    <t>Ago</t>
  </si>
  <si>
    <t>Set</t>
  </si>
  <si>
    <t>Out</t>
  </si>
  <si>
    <t>Nov</t>
  </si>
  <si>
    <t>Dez</t>
  </si>
  <si>
    <t>Despesas Executadas com Saúde/PIB (%)</t>
  </si>
  <si>
    <t>SAÚDE - DESPESAS EXECUTADAS (R$ BILHÕES)</t>
  </si>
  <si>
    <t>SAÚDE - DOTAÇÃO ATUALIZADA</t>
  </si>
  <si>
    <t>SAÚDE - DESPESAS EXECUTADAS (R$)</t>
  </si>
  <si>
    <t>SAÚDE - LIMITE MÍNIMO (R$ BILHÕES)</t>
  </si>
  <si>
    <t>SAÚDE - LIMITE MÍNIMO (R$)</t>
  </si>
  <si>
    <t>RP Processados</t>
  </si>
  <si>
    <t>RP não-Processados</t>
  </si>
  <si>
    <t>Cancelados</t>
  </si>
  <si>
    <t>Pagos</t>
  </si>
  <si>
    <t>Saldo a Pagar</t>
  </si>
  <si>
    <t>Total</t>
  </si>
  <si>
    <t>Pessoal e Encargos</t>
  </si>
  <si>
    <t>Juros e Enc. da Dívida</t>
  </si>
  <si>
    <t>Outras Despesas Correntes</t>
  </si>
  <si>
    <t>Amort. da Dívida</t>
  </si>
  <si>
    <t>PROCESSADOS</t>
  </si>
  <si>
    <t xml:space="preserve">     Cancelado</t>
  </si>
  <si>
    <t xml:space="preserve">     Pagos</t>
  </si>
  <si>
    <t xml:space="preserve">     Saldo a Pagar</t>
  </si>
  <si>
    <t xml:space="preserve">     Total</t>
  </si>
  <si>
    <t>NÃO PROCESSADOS</t>
  </si>
  <si>
    <t>Consulta RREO Síntese</t>
  </si>
  <si>
    <t>({Mês Lançamento} = AGO/2021) E ({Órgão UGE - Orçam. Fiscal S/N} = PERTENCE) E ({Item Informação} = 37:RESTOS A PAGAR PROCESSADOS CANCELADOS, 38:RESTOS A PAGAR PROCESSADOS PAGOS, 39:RESTOS A PAGAR PROCESSADOS A PAGAR, 42:RESTOS A PAGAR NAO PROCESSADOS CANCELADOS, 46:RESTOS A PAGAR NAO PROCESSADOS PAGOS, 47:RESTOS A PAGAR NAO PROCESSADOS A PAGAR)</t>
  </si>
  <si>
    <t>Item Informação</t>
  </si>
  <si>
    <t>Grupo Despesa</t>
  </si>
  <si>
    <t>Saldo - R$ (Item Informação)</t>
  </si>
  <si>
    <t>17/9/2021</t>
  </si>
  <si>
    <t>GRUPO DE DESTINAÇÃO DE RECURSOS</t>
  </si>
  <si>
    <t>DISP. BRUTA EXERCÍCIO ANTERIOR</t>
  </si>
  <si>
    <t>DISP. CAIXA LÍQUIDA ANTES DA INSCRIÇÃO EM RPNP (EXERCÍCIO ATUAL)</t>
  </si>
  <si>
    <t>DISPONIBILIDADE DE
CAIXA LÍQUIDA
(DEPOIS DA
INSCRIÇÃO EM
RESTOS A PAGAR
NÃO PROCESSADOS</t>
  </si>
  <si>
    <t>DISP. CAIXA LÍQUIDA APÓS INSCRIÇÃO EM RPNP (EXERCÍCIO ATUAL)</t>
  </si>
  <si>
    <t>RECURSOS NÃO VINCULADOS/ORDINÁRIOS</t>
  </si>
  <si>
    <t>DISPONIBILIDADES POSITIVAS</t>
  </si>
  <si>
    <t>DISPONIBILIDADES NEGATIVAS</t>
  </si>
  <si>
    <t>TOTAL DE DISPONIBILIDADES</t>
  </si>
  <si>
    <t>Recursos Não Vinculados/Ordinários</t>
  </si>
  <si>
    <t>Recursos da Dívida Pública</t>
  </si>
  <si>
    <t>Recursos Vinculados a Fundos, Órgãos e Programas</t>
  </si>
  <si>
    <t>Recursos de Receitas Financeiras Vinculadas</t>
  </si>
  <si>
    <t>Outros Recursos Vinculados</t>
  </si>
  <si>
    <t>Rec. de Transf. a Estados, DF, Municípios, inclusive Fundos</t>
  </si>
  <si>
    <t>Recursos vinculados à Educação</t>
  </si>
  <si>
    <t>Recursos de Alienação de Bens e Direitos</t>
  </si>
  <si>
    <t>Rec. vinculados à Seguridade Social (exceto Previdência)</t>
  </si>
  <si>
    <t>Recursos a Classificar</t>
  </si>
  <si>
    <t>Recursos vinculados à Previdência Social (RPPS)</t>
  </si>
  <si>
    <t>Recursos vinculados à Previdência Social (RGPS)</t>
  </si>
  <si>
    <t>Total de Disponibilidades (Ordinárias e Vinculadas)</t>
  </si>
  <si>
    <t>Dez/2017</t>
  </si>
  <si>
    <t>Abr/2018</t>
  </si>
  <si>
    <t>Mai/2018</t>
  </si>
  <si>
    <t>Jun/2018</t>
  </si>
  <si>
    <t>Jul/2018</t>
  </si>
  <si>
    <t>Ago/2018</t>
  </si>
  <si>
    <t>Set/2018</t>
  </si>
  <si>
    <t>Out/2018</t>
  </si>
  <si>
    <t>Nov/2018</t>
  </si>
  <si>
    <t>Dez/2018</t>
  </si>
  <si>
    <t>Jan/2019</t>
  </si>
  <si>
    <t>Fev/2019</t>
  </si>
  <si>
    <t>Mar/2019</t>
  </si>
  <si>
    <t>Abr/2019</t>
  </si>
  <si>
    <t>Mai/2019</t>
  </si>
  <si>
    <t>Jun/2019</t>
  </si>
  <si>
    <t>Jul/2019</t>
  </si>
  <si>
    <t>Ago/2019</t>
  </si>
  <si>
    <t>Set/2019</t>
  </si>
  <si>
    <t>Out/2019</t>
  </si>
  <si>
    <t>Nov/2019</t>
  </si>
  <si>
    <t>Dez/2019</t>
  </si>
  <si>
    <t>Jan/2020</t>
  </si>
  <si>
    <t>Fev/2020</t>
  </si>
  <si>
    <t>Recursos Ordinários</t>
  </si>
  <si>
    <t>Total de Disponibilidades</t>
  </si>
  <si>
    <t>Soma das Disponibilidades Negativas</t>
  </si>
  <si>
    <t>Saldo de Recursos Ordinários menos fontes invertidas</t>
  </si>
  <si>
    <t>Fontes Invertidas</t>
  </si>
  <si>
    <t>Vinculados à Seguridade Social (exceto Previdência)</t>
  </si>
  <si>
    <t>Vinculados à Previdência Social (RPPS)</t>
  </si>
  <si>
    <t>Vinculados à Previdência Social (RGPS)</t>
  </si>
  <si>
    <t>Valores em R$ bilhão</t>
  </si>
  <si>
    <t>Out2019</t>
  </si>
  <si>
    <t>Código Inválido</t>
  </si>
  <si>
    <t>-9</t>
  </si>
  <si>
    <t>Não se Aplica</t>
  </si>
  <si>
    <t>Contribuição para Prog. Especiais – PIN/PROTERRA</t>
  </si>
  <si>
    <t>Receitas de Concursos e Prognósticos</t>
  </si>
  <si>
    <t>Custas e Emolumentos – Poder Judiciário</t>
  </si>
  <si>
    <t>Selos de Controle e Lojas Francas – FUNDAF</t>
  </si>
  <si>
    <t>Operações de Crédito Internas – Em Moeda</t>
  </si>
  <si>
    <t>Operações de Crédito Externas – Bens/Serviços</t>
  </si>
  <si>
    <t>Contribuição Social Sobre o Lucro</t>
  </si>
  <si>
    <t>Contribuição para Financiamento da Seguridade Social</t>
  </si>
  <si>
    <t>Recursos do Regime Geral de Previdência Social</t>
  </si>
  <si>
    <t>Contribuição Plano Seguridade Social Servidor</t>
  </si>
  <si>
    <t>Contribuição Patronal</t>
  </si>
  <si>
    <t>Rec. das Oper. de Crédito – Ret. de Oc. – BEA/BIB</t>
  </si>
  <si>
    <t/>
  </si>
  <si>
    <t>Rec das Oper. Of. de Crédito-Ret. de Oc.Est.Mun.</t>
  </si>
  <si>
    <t>Fonte a Classificar</t>
  </si>
  <si>
    <t>81</t>
  </si>
  <si>
    <t>Recursos de Convênios</t>
  </si>
  <si>
    <t>88</t>
  </si>
  <si>
    <t>Remuneração das Disponibilidades do TN</t>
  </si>
  <si>
    <t>TABELA 1 - DEMONSTRATIVO DAS RECEITAS E DESPESAS DA SEGURIDADE SOCIAL</t>
  </si>
  <si>
    <t xml:space="preserve">                     ORÇAMENTO DA SEGURIDADE SOCIAL</t>
  </si>
  <si>
    <t>LDO - Lei nº 13.473, de 08/08/2017, art. 38, §4º</t>
  </si>
  <si>
    <t>R$ milhares</t>
  </si>
  <si>
    <t>Receitas da Seguridade Social</t>
  </si>
  <si>
    <t>EXERCÍCIO</t>
  </si>
  <si>
    <t>Seguridade Social</t>
  </si>
  <si>
    <t>No Mês</t>
  </si>
  <si>
    <t>Até o Mês</t>
  </si>
  <si>
    <t xml:space="preserve">   RGPS</t>
  </si>
  <si>
    <t>RGPS</t>
  </si>
  <si>
    <t xml:space="preserve">   RPPS - Civil</t>
  </si>
  <si>
    <t>RPPS - Civil e FCDF</t>
  </si>
  <si>
    <t xml:space="preserve">   Pensionistas Militares</t>
  </si>
  <si>
    <t>Pensões Militares</t>
  </si>
  <si>
    <t xml:space="preserve">   Receitas (Exceto Previdência)</t>
  </si>
  <si>
    <t>Demais (COFINS, CSLL e Outros)</t>
  </si>
  <si>
    <t>Desvinculação das Receitas da União (DRU)</t>
  </si>
  <si>
    <t>Total das Receitas</t>
  </si>
  <si>
    <t>Despesas da Seguridade Social</t>
  </si>
  <si>
    <t>Despesas do RGPS</t>
  </si>
  <si>
    <t>Saúde</t>
  </si>
  <si>
    <t>Assistência Social</t>
  </si>
  <si>
    <t xml:space="preserve">   Saúde</t>
  </si>
  <si>
    <t>Seguro Desemprego</t>
  </si>
  <si>
    <t xml:space="preserve">   Assistência Social</t>
  </si>
  <si>
    <t>Pensionistas Militares</t>
  </si>
  <si>
    <t xml:space="preserve">   Abono Salarial</t>
  </si>
  <si>
    <t>Abono Salarial</t>
  </si>
  <si>
    <t>Demais Despesas</t>
  </si>
  <si>
    <t xml:space="preserve">   Seguro Desemprego</t>
  </si>
  <si>
    <t>Total das Despesas</t>
  </si>
  <si>
    <t xml:space="preserve">   Demais Seguridade</t>
  </si>
  <si>
    <t>Resultado da Seguridade Social</t>
  </si>
  <si>
    <t>Notas: 
*Considera todas as despesas da Seguridade Social, excluídas as identificadas com Saúde e Previdência.</t>
  </si>
  <si>
    <t>Receitas Desvinculadas (DRU)</t>
  </si>
  <si>
    <t>Resultado com Receitas Desvinculadas</t>
  </si>
  <si>
    <t>DRU</t>
  </si>
  <si>
    <t>Data</t>
  </si>
  <si>
    <t>PIB - acumulado 12 meses</t>
  </si>
  <si>
    <t>TOTAL DE RECURSOS NÃO VINCULADOS/ORDINÁRIOS (I)</t>
  </si>
  <si>
    <t>Recursos vinculados à Seguridade Social (exceto Previdência)</t>
  </si>
  <si>
    <t>Recursos de Receitas Financeiras</t>
  </si>
  <si>
    <t>Recursos de Operação de Crédito</t>
  </si>
  <si>
    <t>Recursos  de Transferências Constitucionais e Legais a Estados, DF, Municípios, inclusive Fundos</t>
  </si>
  <si>
    <t>Tabela 13 – Receitas e despesas relacionadas à Seguridade Social</t>
  </si>
  <si>
    <t>Fonte: RREO/SIAFI</t>
  </si>
  <si>
    <t>Dez/2012</t>
  </si>
  <si>
    <t>Dez/2013</t>
  </si>
  <si>
    <t>Dez/2014</t>
  </si>
  <si>
    <t>Dez/2015</t>
  </si>
  <si>
    <t>Dez/2016</t>
  </si>
  <si>
    <t xml:space="preserve">   Demais (COFINS, CSLL e Outras)</t>
  </si>
  <si>
    <t xml:space="preserve">   Demais</t>
  </si>
  <si>
    <t>Desvinculação das Receitas da União</t>
  </si>
  <si>
    <t>*Estão incluídos nas receitas da Seguridade Social os aportes do Tesouro para compensar a desoneração de encargos previdenciários da folha de pagamentos das empresas.</t>
  </si>
  <si>
    <t xml:space="preserve">**A partir de 2016, as despesas com inativos militares deixaram de ser classificadas como gastos da seguridade social, restando apenas as pensões militares nesse grupo. </t>
  </si>
  <si>
    <t xml:space="preserve">Tabela 15 – Resultado da Seguridade Social, considerando receitas desvinculadas (DRU) </t>
  </si>
  <si>
    <t>Receitas Desvinculadas da Seguridade Social</t>
  </si>
  <si>
    <t>Resultado incluindo DRU</t>
  </si>
  <si>
    <t>Mês atual:</t>
  </si>
  <si>
    <t>Anexo 1 - Balanço Orçamentário</t>
  </si>
  <si>
    <t>Mês Ano Anterior:</t>
  </si>
  <si>
    <t>Dotação Atualizada</t>
  </si>
  <si>
    <t>Empenhado</t>
  </si>
  <si>
    <t>Executado (Liquidado + RPNP)</t>
  </si>
  <si>
    <t>Pago</t>
  </si>
  <si>
    <t>Pago/Empenhado</t>
  </si>
  <si>
    <t>Empenhado/Dotação</t>
  </si>
  <si>
    <t>DESPESAS</t>
  </si>
  <si>
    <t>Despesas Correntes</t>
  </si>
  <si>
    <t>Transferência a Estados, DF e Municípios</t>
  </si>
  <si>
    <t>Despesas de Capital</t>
  </si>
  <si>
    <t>Liquidado</t>
  </si>
  <si>
    <t>dados para fazer os marcadores no gráfico</t>
  </si>
  <si>
    <t>empenhado no ano</t>
  </si>
  <si>
    <t>empenhado no ano anterior</t>
  </si>
  <si>
    <t>x</t>
  </si>
  <si>
    <t>y</t>
  </si>
  <si>
    <t>Função</t>
  </si>
  <si>
    <t>Despesa Empenhada</t>
  </si>
  <si>
    <t xml:space="preserve">JANEIRO A </t>
  </si>
  <si>
    <t>JANEIRO</t>
  </si>
  <si>
    <t>JANEIRO A MARÇO DE 2018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</si>
  <si>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</si>
  <si>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</si>
  <si>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</si>
  <si>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</si>
  <si>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</si>
  <si>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</si>
  <si>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</si>
  <si>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</si>
  <si>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</si>
  <si>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</si>
  <si>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</si>
  <si>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Row Labels</t>
  </si>
  <si>
    <t>Soma de Despesa Empenhada</t>
  </si>
  <si>
    <t>ENCARGOS ESPECIAIS</t>
  </si>
  <si>
    <t>PREVIDENCIA SOCIAL</t>
  </si>
  <si>
    <t>ASSISTENCIA SOCIAL</t>
  </si>
  <si>
    <t>SAUDE</t>
  </si>
  <si>
    <t>EDUCACAO</t>
  </si>
  <si>
    <t>DEFESA NACIONAL</t>
  </si>
  <si>
    <t>TRABALHO</t>
  </si>
  <si>
    <t>JUDICIARIA</t>
  </si>
  <si>
    <t>ADMINISTRACAO</t>
  </si>
  <si>
    <t>AGRICULTURA</t>
  </si>
  <si>
    <t>SEGURANCA PUBLICA</t>
  </si>
  <si>
    <t>LEGISLATIVA</t>
  </si>
  <si>
    <t>TRANSPORTE</t>
  </si>
  <si>
    <t>ESSENCIAL A JUSTICA</t>
  </si>
  <si>
    <t>COMERCIO E SERVICOS</t>
  </si>
  <si>
    <t>GESTAO AMBIENTAL</t>
  </si>
  <si>
    <t>CIENCIA E TECNOLOGIA</t>
  </si>
  <si>
    <t>URBANISMO</t>
  </si>
  <si>
    <t>RELACOES EXTERIORES</t>
  </si>
  <si>
    <t>COMUNICACOES</t>
  </si>
  <si>
    <t>INDUSTRIA</t>
  </si>
  <si>
    <t>ENERGIA</t>
  </si>
  <si>
    <t>ORGANIZACAO AGRARIA</t>
  </si>
  <si>
    <t>DIREITOS DA CIDADANIA</t>
  </si>
  <si>
    <t>CULTURA</t>
  </si>
  <si>
    <t>DESPORTO E LAZER</t>
  </si>
  <si>
    <t>SANEAMENTO</t>
  </si>
  <si>
    <t>HABITACAO</t>
  </si>
  <si>
    <t>Grand Total</t>
  </si>
  <si>
    <t>Até o mês de referência/2019</t>
  </si>
  <si>
    <t>Até o mês de referência/2018</t>
  </si>
  <si>
    <t>Variação da Dívida Consolidada Líquida (a)</t>
  </si>
  <si>
    <t>Receitas Primárias</t>
  </si>
  <si>
    <t>Discrepâncias (d)</t>
  </si>
  <si>
    <t>Demais Ajustes (c)</t>
  </si>
  <si>
    <t>Despesa Primárias</t>
  </si>
  <si>
    <t>Variações Patrimoniais Aumentativas (b)</t>
  </si>
  <si>
    <t>Resultado Primário (a)</t>
  </si>
  <si>
    <t>Variações Patrimoniais Diminutivas (a)</t>
  </si>
  <si>
    <t>Juros Ativos (b)</t>
  </si>
  <si>
    <t>Ajustes
(a) - (b) + (c) + (d)</t>
  </si>
  <si>
    <t>Juros Passivos (c)</t>
  </si>
  <si>
    <t>Resultado Nominal
(a) + (b) - (c)</t>
  </si>
  <si>
    <t>Resultado Nominal (g) = -[(a) - (b)]</t>
  </si>
  <si>
    <t>Juros Ativos (h)</t>
  </si>
  <si>
    <t>Juros Passivos (i)</t>
  </si>
  <si>
    <t>Resultado Primário (g) - (h) + (i)</t>
  </si>
  <si>
    <t>Dívida Consolidada Líquida</t>
  </si>
  <si>
    <t>Variação da Dívida Consolidada Líquida</t>
  </si>
  <si>
    <t>até dezembro/2017</t>
  </si>
  <si>
    <t>Detalhamento da Variação</t>
  </si>
  <si>
    <t>Despesas Primárias</t>
  </si>
  <si>
    <t>Receitas de Operações de Crédito Consideradas</t>
  </si>
  <si>
    <t>Discriminação</t>
  </si>
  <si>
    <t>Valor Apurado</t>
  </si>
  <si>
    <t>Receitas de Operações de Crédito Consideradas (I = a - b)</t>
  </si>
  <si>
    <t>Receitas de Operações de Crédito do Exercício (a)</t>
  </si>
  <si>
    <t>Variação de Saldo da sub‐conta da Dívida (b)</t>
  </si>
  <si>
    <t>Despesas de Capital (II)</t>
  </si>
  <si>
    <t>Amortizações</t>
  </si>
  <si>
    <t>Resultado da Regra de Ouro antes da Ressalva Constitucional (III = II - I)</t>
  </si>
  <si>
    <t>Ressalva prevista no art. 167, inciso III, CF (IV)</t>
  </si>
  <si>
    <t>Resultado da Regra de Ouro (V) = (III + IV)</t>
  </si>
  <si>
    <t>O gráfico abaixo mostra a evolução da RCL, apontando um crescimento nominal em todo o período dos últimos 12 anos.</t>
  </si>
  <si>
    <t xml:space="preserve"> Entretanto, a partir de 2012, percebe-se uma redução no ritmo desse crescimento. Em relação ao PIB, houve quedas sucessivas da RCL desde 2008, passando de 13,8% para 11,1% em 2017.</t>
  </si>
  <si>
    <t xml:space="preserve"> Houve recuperação em 2018 e 2019. A partir de 2020, houve queda acentuada, correspondendo a </t>
  </si>
  <si>
    <t>0,0%</t>
  </si>
  <si>
    <t xml:space="preserve"> do PIB em </t>
  </si>
  <si>
    <t>mmmm</t>
  </si>
  <si>
    <t xml:space="preserve"> de </t>
  </si>
  <si>
    <t>aaaa</t>
  </si>
  <si>
    <t>.</t>
  </si>
  <si>
    <t>mmmm</t>
  </si>
  <si>
    <t>01</t>
  </si>
  <si>
    <t>/</t>
  </si>
  <si>
    <t>12</t>
  </si>
  <si>
    <t>/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</si>
  <si>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</si>
  <si>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</si>
  <si>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</si>
  <si>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</si>
  <si>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</si>
  <si>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</si>
  <si>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</si>
  <si>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</si>
  <si>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</si>
  <si>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</si>
  <si>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</si>
  <si>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</si>
  <si>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</si>
  <si>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</si>
  <si>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</si>
  <si>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</si>
  <si>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</si>
  <si>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</si>
  <si>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</si>
  <si>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</si>
  <si>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</si>
  <si>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</si>
  <si>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</si>
  <si>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</si>
  <si>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</si>
  <si>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</si>
  <si>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</si>
  <si>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</si>
  <si>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</si>
  <si>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</si>
  <si>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</si>
  <si>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</si>
  <si>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</si>
  <si>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</si>
  <si>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</si>
  <si>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</si>
  <si>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</si>
  <si>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</si>
  <si>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</si>
  <si>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</si>
  <si>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</si>
  <si>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</si>
  <si>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</si>
  <si>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</si>
  <si>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</si>
  <si>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</si>
  <si>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</si>
  <si>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</si>
  <si>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</si>
  <si>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</si>
  <si>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</si>
  <si>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</si>
  <si>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</si>
  <si>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</si>
  <si>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</si>
  <si>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</si>
  <si>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</si>
  <si>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</si>
  <si>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</si>
  <si>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</si>
  <si>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</si>
  <si>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</si>
  <si>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</si>
  <si>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</si>
  <si>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</si>
  <si>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</si>
  <si>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</si>
  <si>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</si>
  <si>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</si>
  <si>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</si>
  <si>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</si>
  <si>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</si>
  <si>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</si>
  <si>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</si>
  <si>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</si>
  <si>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</si>
  <si>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</si>
  <si>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</si>
  <si>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</si>
  <si>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</si>
  <si>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</si>
  <si>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</si>
  <si>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</si>
  <si>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</si>
  <si>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</si>
  <si>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</si>
  <si>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</si>
  <si>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</si>
  <si>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</si>
  <si>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</si>
  <si>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</si>
  <si>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</si>
  <si>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</si>
  <si>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</si>
  <si>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</si>
  <si>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</si>
  <si>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</si>
  <si>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</si>
  <si>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</si>
  <si>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</si>
  <si>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</si>
  <si>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</si>
  <si>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</si>
  <si>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</si>
  <si>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</si>
  <si>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</si>
  <si>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</si>
  <si>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</si>
  <si>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</si>
  <si>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</si>
  <si>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</si>
  <si>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</si>
  <si>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</si>
  <si>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</si>
  <si>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</si>
  <si>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</si>
  <si>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</si>
  <si>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</si>
  <si>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</si>
  <si>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</si>
  <si>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</si>
  <si>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</si>
  <si>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</si>
  <si>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</si>
  <si>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</si>
  <si>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</si>
  <si>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</si>
  <si>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</si>
  <si>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</si>
  <si>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</si>
  <si>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</si>
  <si>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</si>
  <si>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</si>
  <si>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</si>
  <si>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</si>
  <si>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</si>
  <si>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</si>
  <si>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</si>
  <si>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</si>
  <si>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</si>
  <si>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</si>
  <si>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</si>
  <si>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</si>
  <si>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</si>
  <si>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</si>
  <si>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</si>
  <si>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</si>
  <si>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</si>
  <si>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</si>
  <si>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</si>
  <si>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</si>
  <si>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</si>
  <si>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</si>
  <si>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</si>
  <si>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</si>
  <si>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</si>
  <si>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</si>
  <si>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</si>
  <si>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</si>
  <si>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</si>
  <si>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</si>
  <si>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</si>
  <si>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</si>
  <si>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</si>
  <si>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</si>
  <si>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</si>
  <si>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</si>
  <si>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</si>
  <si>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</si>
  <si>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</si>
  <si>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</si>
  <si>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</si>
  <si>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</si>
  <si>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</si>
  <si>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</si>
  <si>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</si>
  <si>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</si>
  <si>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</si>
  <si>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</si>
  <si>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</si>
  <si>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</si>
  <si>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</si>
  <si>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</si>
  <si>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</si>
  <si>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</si>
  <si>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</si>
  <si>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</si>
  <si>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</si>
  <si>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</si>
  <si>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</si>
  <si>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</si>
  <si>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</si>
  <si>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</si>
  <si>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</si>
  <si>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</si>
  <si>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</si>
  <si>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</si>
  <si>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</si>
  <si>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</si>
  <si>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</si>
  <si>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</si>
  <si>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</si>
  <si>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</si>
  <si>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</si>
  <si>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</si>
  <si>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</si>
  <si>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</si>
  <si>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</si>
  <si>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</si>
  <si>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</si>
  <si>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</si>
  <si>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</si>
  <si>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</si>
  <si>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</si>
  <si>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</si>
  <si>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</si>
  <si>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</si>
  <si>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</si>
  <si>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</si>
  <si>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</si>
  <si>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</si>
  <si>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</si>
  <si>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</si>
  <si>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</si>
  <si>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</si>
  <si>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</si>
  <si>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</si>
  <si>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</si>
  <si>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</si>
  <si>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</si>
  <si>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</si>
  <si>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</si>
  <si>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</si>
  <si>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</si>
  <si>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</si>
  <si>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</si>
  <si>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</si>
  <si>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</si>
  <si>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</si>
  <si>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</si>
  <si>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</si>
  <si>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</si>
  <si>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</si>
  <si>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</si>
  <si>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</si>
  <si>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</si>
  <si>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</si>
  <si>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</si>
  <si>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</si>
  <si>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</si>
  <si>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</si>
  <si>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</si>
  <si>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</si>
  <si>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</si>
  <si>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</si>
  <si>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</si>
  <si>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</si>
  <si>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</si>
  <si>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</si>
  <si>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</si>
  <si>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</si>
  <si>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</si>
  <si>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</si>
  <si>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</si>
  <si>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</si>
  <si>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</si>
  <si>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</si>
  <si>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</si>
  <si>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</si>
  <si>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</si>
  <si>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</si>
  <si>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</si>
  <si>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</si>
  <si>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</si>
  <si>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</si>
  <si>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</si>
  <si>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</si>
  <si>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</si>
  <si>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</si>
  <si>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</si>
  <si>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</si>
  <si>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</si>
  <si>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</si>
  <si>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</si>
  <si>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</si>
  <si>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</si>
  <si>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</si>
  <si>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</si>
  <si>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</si>
  <si>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</si>
  <si>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</si>
  <si>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</si>
  <si>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</si>
  <si>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</si>
  <si>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</si>
  <si>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</si>
  <si>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</si>
  <si>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</si>
  <si>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</si>
  <si>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</si>
  <si>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</si>
  <si>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</si>
  <si>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</si>
  <si>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</si>
  <si>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</si>
  <si>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</si>
  <si>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</si>
  <si>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</si>
  <si>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</si>
  <si>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</si>
  <si>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</si>
  <si>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</si>
  <si>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</si>
  <si>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</si>
  <si>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</si>
  <si>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</si>
  <si>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</si>
  <si>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</si>
  <si>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</si>
  <si>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</si>
  <si>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</si>
  <si>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</si>
  <si>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</si>
  <si>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</si>
  <si>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</si>
  <si>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</si>
  <si>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</si>
  <si>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</si>
  <si>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</si>
  <si>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</si>
  <si>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</si>
  <si>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</si>
  <si>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</si>
  <si>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</si>
  <si>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</si>
  <si>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</si>
  <si>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</si>
  <si>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</si>
  <si>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</si>
  <si>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</si>
  <si>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</si>
  <si>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</si>
  <si>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</si>
  <si>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</si>
  <si>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</si>
  <si>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</si>
  <si>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</si>
  <si>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</si>
  <si>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</si>
  <si>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</si>
  <si>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</si>
  <si>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</si>
  <si>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</si>
  <si>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</si>
  <si>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</si>
  <si>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</si>
  <si>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</si>
  <si>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</si>
  <si>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</si>
  <si>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</si>
  <si>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</si>
  <si>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</si>
  <si>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</si>
  <si>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</si>
  <si>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</si>
  <si>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</si>
  <si>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</si>
  <si>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</si>
  <si>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</si>
  <si>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</si>
  <si>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</si>
  <si>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</si>
  <si>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</si>
  <si>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</si>
  <si>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</si>
  <si>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</si>
  <si>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</si>
  <si>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</si>
  <si>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</si>
  <si>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</si>
  <si>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</si>
  <si>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</si>
  <si>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</si>
  <si>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</si>
  <si>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</si>
  <si>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</si>
  <si>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</si>
  <si>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</si>
  <si>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</si>
  <si>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</si>
  <si>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</si>
  <si>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</si>
  <si>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</si>
  <si>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</si>
  <si>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</si>
  <si>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</si>
  <si>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</si>
  <si>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</si>
  <si>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</si>
  <si>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</si>
  <si>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</si>
  <si>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</si>
  <si>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</si>
  <si>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</si>
  <si>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</si>
  <si>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</si>
  <si>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</si>
  <si>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</si>
  <si>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</si>
  <si>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</si>
  <si>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</si>
  <si>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</si>
  <si>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</si>
  <si>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</si>
  <si>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</si>
  <si>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</si>
  <si>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</si>
  <si>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</si>
  <si>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</si>
  <si>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</si>
  <si>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</si>
  <si>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</si>
  <si>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</si>
  <si>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</si>
  <si>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</si>
  <si>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</si>
  <si>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</si>
  <si>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</si>
  <si>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</si>
  <si>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</si>
  <si>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</si>
  <si>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</si>
  <si>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</si>
  <si>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</si>
  <si>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</si>
  <si>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</si>
  <si>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</si>
  <si>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</si>
  <si>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</si>
  <si>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</si>
  <si>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</si>
  <si>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</si>
  <si>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</si>
  <si>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</si>
  <si>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</si>
  <si>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</si>
  <si>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</si>
  <si>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</si>
  <si>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</si>
  <si>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</si>
  <si>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</si>
  <si>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</si>
  <si>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</si>
  <si>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</si>
  <si>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</si>
  <si>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</si>
  <si>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</si>
  <si>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</si>
  <si>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</si>
  <si>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</si>
  <si>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</si>
  <si>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</si>
  <si>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</si>
  <si>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</si>
  <si>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</si>
  <si>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</si>
  <si>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</si>
  <si>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</si>
  <si>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</si>
  <si>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</si>
  <si>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</si>
  <si>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</si>
  <si>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</si>
  <si>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</si>
  <si>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</si>
  <si>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</si>
  <si>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</si>
  <si>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</si>
  <si>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</si>
  <si>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</si>
  <si>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</si>
  <si>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</si>
  <si>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</si>
  <si>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</si>
  <si>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</si>
  <si>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</si>
  <si>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</si>
  <si>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</si>
  <si>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</si>
  <si>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</si>
  <si>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</si>
  <si>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</si>
  <si>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</si>
  <si>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</si>
  <si>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</si>
  <si>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</si>
  <si>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</si>
  <si>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</si>
  <si>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</si>
  <si>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</si>
  <si>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</si>
  <si>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</si>
  <si>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</si>
  <si>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</si>
  <si>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</si>
  <si>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</si>
  <si>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</si>
  <si>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</si>
  <si>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</si>
  <si>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</si>
  <si>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</si>
  <si>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</si>
  <si>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</si>
  <si>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</si>
  <si>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</si>
  <si>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</si>
  <si>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</si>
  <si>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</si>
  <si>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</si>
  <si>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</si>
  <si>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</si>
  <si>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</si>
  <si>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</si>
  <si>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</si>
  <si>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</si>
  <si>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</si>
  <si>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</si>
  <si>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</si>
  <si>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</si>
  <si>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</si>
  <si>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</si>
  <si>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</si>
  <si>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</si>
  <si>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</si>
  <si>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</si>
  <si>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</si>
  <si>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</si>
  <si>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</si>
  <si>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</si>
  <si>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</si>
  <si>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</si>
  <si>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</si>
  <si>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</si>
  <si>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</si>
  <si>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</si>
  <si>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</si>
  <si>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</si>
  <si>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</si>
  <si>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</si>
  <si>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</si>
  <si>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</si>
  <si>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</si>
  <si>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</si>
  <si>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</si>
  <si>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</si>
  <si>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</si>
  <si>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</si>
  <si>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</si>
  <si>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</si>
  <si>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</si>
  <si>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</si>
  <si>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</si>
  <si>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</si>
  <si>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</si>
  <si>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</si>
  <si>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</si>
  <si>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</si>
  <si>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</si>
  <si>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</si>
  <si>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</si>
  <si>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</si>
  <si>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</si>
  <si>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</si>
  <si>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</si>
  <si>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</si>
  <si>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</si>
  <si>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</si>
  <si>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</si>
  <si>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</si>
  <si>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</si>
  <si>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</si>
  <si>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</si>
  <si>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</si>
  <si>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</si>
  <si>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</si>
  <si>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</si>
  <si>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</si>
  <si>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</si>
  <si>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</si>
  <si>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</si>
  <si>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</si>
  <si>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</si>
  <si>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</si>
  <si>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</si>
  <si>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</si>
  <si>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</si>
  <si>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</si>
  <si>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</si>
  <si>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</si>
  <si>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</si>
  <si>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</si>
  <si>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</si>
  <si>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</si>
  <si>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</si>
  <si>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</si>
  <si>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</si>
  <si>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</si>
  <si>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</si>
  <si>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</si>
  <si>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</si>
  <si>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</si>
  <si>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</si>
  <si>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</si>
  <si>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</si>
  <si>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</si>
  <si>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</si>
  <si>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</si>
  <si>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</si>
  <si>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</si>
  <si>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</si>
  <si>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</si>
  <si>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</si>
  <si>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</si>
  <si>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</si>
  <si>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</si>
  <si>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</si>
  <si>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</si>
  <si>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</si>
  <si>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</si>
  <si>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</si>
  <si>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</si>
  <si>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</si>
  <si>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</si>
  <si>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</si>
  <si>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</si>
  <si>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</si>
  <si>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</si>
  <si>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</si>
  <si>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</si>
  <si>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</si>
  <si>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</si>
  <si>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</si>
  <si>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</si>
  <si>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</si>
  <si>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</si>
  <si>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</si>
  <si>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</si>
  <si>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</si>
  <si>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</si>
  <si>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</si>
  <si>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</si>
  <si>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</si>
  <si>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</si>
  <si>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</si>
  <si>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</si>
  <si>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</si>
  <si>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</si>
  <si>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</si>
  <si>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</si>
  <si>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</si>
  <si>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</si>
  <si>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</si>
  <si>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</si>
  <si>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</si>
  <si>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</si>
  <si>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</si>
  <si>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</si>
  <si>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</si>
  <si>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</si>
  <si>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</si>
  <si>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</si>
  <si>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</si>
  <si>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</si>
  <si>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</si>
  <si>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</si>
  <si>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</si>
  <si>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</si>
  <si>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</si>
  <si>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</si>
  <si>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</si>
  <si>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</si>
  <si>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</si>
  <si>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</si>
  <si>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</si>
  <si>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</si>
  <si>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</si>
  <si>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</si>
  <si>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</si>
  <si>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</si>
  <si>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</si>
  <si>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</si>
  <si>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</si>
  <si>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</si>
  <si>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</si>
  <si>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</si>
  <si>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</si>
  <si>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</si>
  <si>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</si>
  <si>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</si>
  <si>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</si>
  <si>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</si>
  <si>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</si>
  <si>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</si>
  <si>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</si>
  <si>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</si>
  <si>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</si>
  <si>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</si>
  <si>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</si>
  <si>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</si>
  <si>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</si>
  <si>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</si>
  <si>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</si>
  <si>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</si>
  <si>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</si>
  <si>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</si>
  <si>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</si>
  <si>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</si>
  <si>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</si>
  <si>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</si>
  <si>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</si>
  <si>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</si>
  <si>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</si>
  <si>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</si>
  <si>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</si>
  <si>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</si>
  <si>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</si>
  <si>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</si>
  <si>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</si>
  <si>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</si>
  <si>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</si>
  <si>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</si>
  <si>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</si>
  <si>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</si>
  <si>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</si>
  <si>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</si>
  <si>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</si>
  <si>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</si>
  <si>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</si>
  <si>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</si>
  <si>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</si>
  <si>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</si>
  <si>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</si>
  <si>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</si>
  <si>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</si>
  <si>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</si>
  <si>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</si>
  <si>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</si>
  <si>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</si>
  <si>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</si>
  <si>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</si>
  <si>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</si>
  <si>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</si>
  <si>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</si>
  <si>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</si>
  <si>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</si>
  <si>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</si>
  <si>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</si>
  <si>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</si>
  <si>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</si>
  <si>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</si>
  <si>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</si>
  <si>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</si>
  <si>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</si>
  <si>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</si>
  <si>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</si>
  <si>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</si>
  <si>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</si>
  <si>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</si>
  <si>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</si>
  <si>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</si>
  <si>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</si>
  <si>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</si>
  <si>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</si>
  <si>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</si>
  <si>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</si>
  <si>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</si>
  <si>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</si>
  <si>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</si>
  <si>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</si>
  <si>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</si>
  <si>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</si>
  <si>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</si>
  <si>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</si>
  <si>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</si>
  <si>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</si>
  <si>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</si>
  <si>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</si>
  <si>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</si>
  <si>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</si>
  <si>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</si>
  <si>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</si>
  <si>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</si>
  <si>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</si>
  <si>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</si>
  <si>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</si>
  <si>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</si>
  <si>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</si>
  <si>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</si>
  <si>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</si>
  <si>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</si>
  <si>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</si>
  <si>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</si>
  <si>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</si>
  <si>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</si>
  <si>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</si>
  <si>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</si>
  <si>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</si>
  <si>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</si>
  <si>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</si>
  <si>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</si>
  <si>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</si>
  <si>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</si>
  <si>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</si>
  <si>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</si>
  <si>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</si>
  <si>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</si>
  <si>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</si>
  <si>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</si>
  <si>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</si>
  <si>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</si>
  <si>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</si>
  <si>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</si>
  <si>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</si>
  <si>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</si>
  <si>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</si>
  <si>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</si>
  <si>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</si>
  <si>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</si>
  <si>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</si>
  <si>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</si>
  <si>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</si>
  <si>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</si>
  <si>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</si>
  <si>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</si>
  <si>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</si>
  <si>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</si>
  <si>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</si>
  <si>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</si>
  <si>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</si>
  <si>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</si>
  <si>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</si>
  <si>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</si>
  <si>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</si>
  <si>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</si>
  <si>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</si>
  <si>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</si>
  <si>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</si>
  <si>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</si>
  <si>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</si>
  <si>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</si>
  <si>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</si>
  <si>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</si>
  <si>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</si>
  <si>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</si>
  <si>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</si>
  <si>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</si>
  <si>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</si>
  <si>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</si>
  <si>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</si>
  <si>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</si>
  <si>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</si>
  <si>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</si>
  <si>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</si>
  <si>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</si>
  <si>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</si>
  <si>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</si>
  <si>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</si>
  <si>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</si>
  <si>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</si>
  <si>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</si>
  <si>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</si>
  <si>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</si>
  <si>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</si>
  <si>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</si>
  <si>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</si>
  <si>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</si>
  <si>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</si>
  <si>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</si>
  <si>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</si>
  <si>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</si>
  <si>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</si>
  <si>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</si>
  <si>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</si>
  <si>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</si>
  <si>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</si>
  <si>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</si>
  <si>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</si>
  <si>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</si>
  <si>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</si>
  <si>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</si>
  <si>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</si>
  <si>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</si>
  <si>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</si>
  <si>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</si>
  <si>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</si>
  <si>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</si>
  <si>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</si>
  <si>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</si>
  <si>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</si>
  <si>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</si>
  <si>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</si>
  <si>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</si>
  <si>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</si>
  <si>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</si>
  <si>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</si>
  <si>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</si>
  <si>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</si>
  <si>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</si>
  <si>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</si>
  <si>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</si>
  <si>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</si>
  <si>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</si>
  <si>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</si>
  <si>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</si>
  <si>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</si>
  <si>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</si>
  <si>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</si>
  <si>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</si>
  <si>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</si>
  <si>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</si>
  <si>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</si>
  <si>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</si>
  <si>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</si>
  <si>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</si>
  <si>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</si>
  <si>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</si>
  <si>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</si>
  <si>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</si>
  <si>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</si>
  <si>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</si>
  <si>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</si>
  <si>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</si>
  <si>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</si>
  <si>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</si>
  <si>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</si>
  <si>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</si>
  <si>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</si>
  <si>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</si>
  <si>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</si>
  <si>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</si>
  <si>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</si>
  <si>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</si>
  <si>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</si>
  <si>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</si>
  <si>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</si>
  <si>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</si>
  <si>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</si>
  <si>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</si>
  <si>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</si>
  <si>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</si>
  <si>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</si>
  <si>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</si>
  <si>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</si>
  <si>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</si>
  <si>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</si>
  <si>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</si>
  <si>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</si>
  <si>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</si>
  <si>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</si>
  <si>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</si>
  <si>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</si>
  <si>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</si>
  <si>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</si>
  <si>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</si>
  <si>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</si>
  <si>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</si>
  <si>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</si>
  <si>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</si>
  <si>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</si>
  <si>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</si>
  <si>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</si>
  <si>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</si>
  <si>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</si>
  <si>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</si>
  <si>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</si>
  <si>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</si>
  <si>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</si>
  <si>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</si>
  <si>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</si>
  <si>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</si>
  <si>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</si>
  <si>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</si>
  <si>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</si>
  <si>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</si>
  <si>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</si>
  <si>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</si>
  <si>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</si>
  <si>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</si>
  <si>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</si>
  <si>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</si>
  <si>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</si>
  <si>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</si>
  <si>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</si>
  <si>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</si>
  <si>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</si>
  <si>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</si>
  <si>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</si>
  <si>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</si>
  <si>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</si>
  <si>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</si>
  <si>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</si>
  <si>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</si>
  <si>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</si>
  <si>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</si>
  <si>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</si>
  <si>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</si>
  <si>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</si>
  <si>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</si>
  <si>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</si>
  <si>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</si>
  <si>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</si>
  <si>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</si>
  <si>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</si>
  <si>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</si>
  <si>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</si>
  <si>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</si>
  <si>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</si>
  <si>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</si>
  <si>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</si>
  <si>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</si>
  <si>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</si>
  <si>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</si>
  <si>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</si>
  <si>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</si>
  <si>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</si>
  <si>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</si>
  <si>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</si>
  <si>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</si>
  <si>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</si>
  <si>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</si>
  <si>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</si>
  <si>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</si>
  <si>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</si>
  <si>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</si>
  <si>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</si>
  <si>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</si>
  <si>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</si>
  <si>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</si>
  <si>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</si>
  <si>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</si>
  <si>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</si>
  <si>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</si>
  <si>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</si>
  <si>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</si>
  <si>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</si>
  <si>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</si>
  <si>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</si>
  <si>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</si>
  <si>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</si>
  <si>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</si>
  <si>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</si>
  <si>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</si>
  <si>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</si>
  <si>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</si>
  <si>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</si>
  <si>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</si>
  <si>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</si>
  <si>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</si>
  <si>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</si>
  <si>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</si>
  <si>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</si>
  <si>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</si>
  <si>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</si>
  <si>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</si>
  <si>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</si>
  <si>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</si>
  <si>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</si>
  <si>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</si>
  <si>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</si>
  <si>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</si>
  <si>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</si>
  <si>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</si>
  <si>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</si>
  <si>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</si>
  <si>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</si>
  <si>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</si>
  <si>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</si>
  <si>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</si>
  <si>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</si>
  <si>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</si>
  <si>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</si>
  <si>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</si>
  <si>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</si>
  <si>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</si>
  <si>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</si>
  <si>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</si>
  <si>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</si>
  <si>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</si>
  <si>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</si>
  <si>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</si>
  <si>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</si>
  <si>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</si>
  <si>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</si>
  <si>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</si>
  <si>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</si>
  <si>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</si>
  <si>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</si>
  <si>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</si>
  <si>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</si>
  <si>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</si>
  <si>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</si>
  <si>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</si>
  <si>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</si>
  <si>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</si>
  <si>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</si>
  <si>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</si>
  <si>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</si>
  <si>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</si>
  <si>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</si>
  <si>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</si>
  <si>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</si>
  <si>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</si>
  <si>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</si>
  <si>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</si>
  <si>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</si>
  <si>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</si>
  <si>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</si>
  <si>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</si>
  <si>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</si>
  <si>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</si>
  <si>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</si>
  <si>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</si>
  <si>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</si>
  <si>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</si>
  <si>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</si>
  <si>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</si>
  <si>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</si>
  <si>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</si>
  <si>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</si>
  <si>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</si>
  <si>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</si>
  <si>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</si>
  <si>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</si>
  <si>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</si>
  <si>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</si>
  <si>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</si>
  <si>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</si>
  <si>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</si>
  <si>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</si>
  <si>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</si>
  <si>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</si>
  <si>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</si>
  <si>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</si>
  <si>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</si>
  <si>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</si>
  <si>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</si>
  <si>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</si>
  <si>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</si>
  <si>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</si>
  <si>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</si>
  <si>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</si>
  <si>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</si>
  <si>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</si>
  <si>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</si>
  <si>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</si>
  <si>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</si>
  <si>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</si>
  <si>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</si>
  <si>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</si>
  <si>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</si>
  <si>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</si>
  <si>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</si>
  <si>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</si>
  <si>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</si>
  <si>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</si>
  <si>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</si>
  <si>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</si>
  <si>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</si>
  <si>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</si>
  <si>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</si>
  <si>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</si>
  <si>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</si>
  <si>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</si>
  <si>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</si>
  <si>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</si>
  <si>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</si>
  <si>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</si>
  <si>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</si>
  <si>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</si>
  <si>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</si>
  <si>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</si>
  <si>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</si>
  <si>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</si>
  <si>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</si>
  <si>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</si>
  <si>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</si>
  <si>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</si>
  <si>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</si>
  <si>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</si>
  <si>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</si>
  <si>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</si>
  <si>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</si>
  <si>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</si>
  <si>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</si>
  <si>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</si>
  <si>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</si>
  <si>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</si>
  <si>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</si>
  <si>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</si>
  <si>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</si>
  <si>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</si>
  <si>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</si>
  <si>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</si>
  <si>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</si>
  <si>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</si>
  <si>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</si>
  <si>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</si>
  <si>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</si>
  <si>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</si>
  <si>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</si>
  <si>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</si>
  <si>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</si>
  <si>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</si>
  <si>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</si>
  <si>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</si>
  <si>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</si>
  <si>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</si>
  <si>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</si>
  <si>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</si>
  <si>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</si>
  <si>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</si>
  <si>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</si>
  <si>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</si>
  <si>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</si>
  <si>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</si>
  <si>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</si>
  <si>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</si>
  <si>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</si>
  <si>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</si>
  <si>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</si>
  <si>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</si>
  <si>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</si>
  <si>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</si>
  <si>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</si>
  <si>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</si>
  <si>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</si>
  <si>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</si>
  <si>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</si>
  <si>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</si>
  <si>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</si>
  <si>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</si>
  <si>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</si>
  <si>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</si>
  <si>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</si>
  <si>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</si>
  <si>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</si>
  <si>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</si>
  <si>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</si>
  <si>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</si>
  <si>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</si>
  <si>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</si>
  <si>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</si>
  <si>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</si>
  <si>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</si>
  <si>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</si>
  <si>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</si>
  <si>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</si>
  <si>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</si>
  <si>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</si>
  <si>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</si>
  <si>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</si>
  <si>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</si>
  <si>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</si>
  <si>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</si>
  <si>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</si>
  <si>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</si>
  <si>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</si>
  <si>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</si>
  <si>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</si>
  <si>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</si>
  <si>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</si>
  <si>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</si>
  <si>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</si>
  <si>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</si>
  <si>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</si>
  <si>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</si>
  <si>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</si>
  <si>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</si>
  <si>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</si>
  <si>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</si>
  <si>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</si>
  <si>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</si>
  <si>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</si>
  <si>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</si>
  <si>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</si>
  <si>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</si>
  <si>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</si>
  <si>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</si>
  <si>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</si>
  <si>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</si>
  <si>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</si>
  <si>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</si>
  <si>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</si>
  <si>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</si>
  <si>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</si>
  <si>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</si>
  <si>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</si>
  <si>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</si>
  <si>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</si>
  <si>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</si>
  <si>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</si>
  <si>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</si>
  <si>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</si>
  <si>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</si>
  <si>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</si>
  <si>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</si>
  <si>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</si>
  <si>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</si>
  <si>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</si>
  <si>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</si>
  <si>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</si>
  <si>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</si>
  <si>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</si>
  <si>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</si>
  <si>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</si>
  <si>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</si>
  <si>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</si>
  <si>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</si>
  <si>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</si>
  <si>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>&gt;</t>
  </si>
  <si>
    <t xml:space="preserve">Despesas Executadas até </t>
  </si>
  <si>
    <t>DEZ</t>
  </si>
  <si>
    <t xml:space="preserve">Diferença para Cumprimento (até </t>
  </si>
  <si>
    <t>)</t>
  </si>
  <si>
    <t xml:space="preserve">Limite Mínimo (até </t>
  </si>
  <si>
    <t>)</t>
  </si>
  <si>
    <t>TOTAL DAS DESPESAS COM AÇÕES E SERVIÇOS PÚBLICOS DE SAÚDE (XIV)</t>
  </si>
  <si>
    <t xml:space="preserve">Despesas Executadas até </t>
  </si>
  <si>
    <t xml:space="preserve">Diferença para Cumprimento (até </t>
  </si>
  <si>
    <t>)</t>
  </si>
  <si>
    <t>20</t>
  </si>
  <si>
    <t xml:space="preserve">Limite Mínimo (até </t>
  </si>
  <si>
    <t>)</t>
  </si>
  <si>
    <t>TOTAL DAS DESPESAS COM AÇÕES E SERVIÇOS PÚBLICOS DE SAÚDE (XIV)</t>
  </si>
  <si>
    <t xml:space="preserve">Despesas Executadas até </t>
  </si>
  <si>
    <t>DEZ</t>
  </si>
  <si>
    <t xml:space="preserve">Diferença para Cumprimento (até </t>
  </si>
  <si>
    <t>)</t>
  </si>
  <si>
    <t>&lt;0</t>
  </si>
  <si>
    <t>&lt;0</t>
  </si>
  <si>
    <t>&lt;0</t>
  </si>
  <si>
    <t>&lt;0</t>
  </si>
  <si>
    <t xml:space="preserve">                     </t>
  </si>
  <si>
    <t>Receitas do RGPS</t>
  </si>
  <si>
    <t>Receitas do RGPS</t>
  </si>
  <si>
    <t>Receitas do RGPS</t>
  </si>
  <si>
    <t>Receitas do RGPS</t>
  </si>
  <si>
    <t>Receitas do RGPS</t>
  </si>
  <si>
    <t>Receitas do RGPS</t>
  </si>
  <si>
    <t>Receitas do RGPS</t>
  </si>
  <si>
    <t>Receitas do RGPS</t>
  </si>
  <si>
    <t>Receitas do RGPS</t>
  </si>
  <si>
    <t>Receitas do RPPS (exceto FCDF)</t>
  </si>
  <si>
    <t>Receitas do RPPS (exceto FCDF)</t>
  </si>
  <si>
    <t>Receitas do RPPS (exceto FCDF)</t>
  </si>
  <si>
    <t>Receitas do RPPS (exceto FCDF)</t>
  </si>
  <si>
    <t>Receitas do RPPS (exceto FCDF)</t>
  </si>
  <si>
    <t>Receitas do RPPS (exceto FCDF)</t>
  </si>
  <si>
    <t>Receitas do RPPS (exceto FCDF)</t>
  </si>
  <si>
    <t>Receitas do RPPS (exceto FCDF)</t>
  </si>
  <si>
    <t>Receitas do RPPS (exceto FCDF)</t>
  </si>
  <si>
    <t>Receitas de Pensões Militares (FFAA)</t>
  </si>
  <si>
    <t>Receitas de Pensões Militares (FFAA)</t>
  </si>
  <si>
    <t>Receitas de Pensões Militares (FFAA)</t>
  </si>
  <si>
    <t>Receitas de Pensões Militares (FFAA)</t>
  </si>
  <si>
    <t>Receitas de Pensões Militares (FFAA)</t>
  </si>
  <si>
    <t>Receitas de Pensões Militares (FFAA)</t>
  </si>
  <si>
    <t>Receitas de Pensões Militares (FFAA)</t>
  </si>
  <si>
    <t>Receitas de Pensões Militares (FFAA)</t>
  </si>
  <si>
    <t>Receitas de Pensões Militares (FFAA)</t>
  </si>
  <si>
    <t>Demais (COFINS, CSLL e Outras)</t>
  </si>
  <si>
    <t>Demais (COFINS, CSLL e Outras)</t>
  </si>
  <si>
    <t>Demais (COFINS, CSLL e Outras)</t>
  </si>
  <si>
    <t>Demais (COFINS, CSLL e Outras)</t>
  </si>
  <si>
    <t>Demais (COFINS, CSLL e Outras)</t>
  </si>
  <si>
    <t>Demais (COFINS, CSLL e Outras)</t>
  </si>
  <si>
    <t>Demais (COFINS, CSLL e Outras)</t>
  </si>
  <si>
    <t>Demais (COFINS, CSLL e Outras)</t>
  </si>
  <si>
    <t>Demais (COFINS, CSLL e Outras)</t>
  </si>
  <si>
    <t>Despesas do RGPS</t>
  </si>
  <si>
    <t>Despesas do RGPS</t>
  </si>
  <si>
    <t>Despesas do RGPS</t>
  </si>
  <si>
    <t>Despesas do RGPS</t>
  </si>
  <si>
    <t>Despesas do RGPS</t>
  </si>
  <si>
    <t>Despesas do RGPS</t>
  </si>
  <si>
    <t>Despesas do RGPS</t>
  </si>
  <si>
    <t>Despesas do RGPS</t>
  </si>
  <si>
    <t>Despesas do RGPS</t>
  </si>
  <si>
    <t>Despesas com Saúde</t>
  </si>
  <si>
    <t>Despesas com Saúde</t>
  </si>
  <si>
    <t>Despesas com Saúde</t>
  </si>
  <si>
    <t>Despesas com Saúde</t>
  </si>
  <si>
    <t>Despesas com Saúde</t>
  </si>
  <si>
    <t>Despesas com Saúde</t>
  </si>
  <si>
    <t>Despesas com Saúde</t>
  </si>
  <si>
    <t>Despesas com Saúde</t>
  </si>
  <si>
    <t>Despesas com Saúde</t>
  </si>
  <si>
    <t>Despesas com Assistência Social</t>
  </si>
  <si>
    <t>Despesas com Assistência Social</t>
  </si>
  <si>
    <t>Despesas com Assistência Social</t>
  </si>
  <si>
    <t>Despesas com Assistência Social</t>
  </si>
  <si>
    <t>Despesas com Assistência Social</t>
  </si>
  <si>
    <t>Despesas com Assistência Social</t>
  </si>
  <si>
    <t>Despesas com Assistência Social</t>
  </si>
  <si>
    <t>Despesas com Assistência Social</t>
  </si>
  <si>
    <t>Despesas com Assistência Social</t>
  </si>
  <si>
    <t>Despesas do RPPS - Civil (exceto FCDF)</t>
  </si>
  <si>
    <t>Despesas do RPPS - Civil (exceto FCDF)</t>
  </si>
  <si>
    <t>Despesas do RPPS - Civil (exceto FCDF)</t>
  </si>
  <si>
    <t>Despesas do RPPS - Civil (exceto FCDF)</t>
  </si>
  <si>
    <t>Despesas do RPPS - Civil (exceto FCDF)</t>
  </si>
  <si>
    <t>Despesas do RPPS - Civil (exceto FCDF)</t>
  </si>
  <si>
    <t>Despesas do RPPS - Civil (exceto FCDF)</t>
  </si>
  <si>
    <t>Despesas do RPPS - Civil (exceto FCDF)</t>
  </si>
  <si>
    <t>Despesas do RPPS - Civil (exceto FCDF)</t>
  </si>
  <si>
    <t>Despesas com Seguro Desemprego</t>
  </si>
  <si>
    <t>Despesas com Seguro Desemprego</t>
  </si>
  <si>
    <t>Despesas com Seguro Desemprego</t>
  </si>
  <si>
    <t>Despesas com Seguro Desemprego</t>
  </si>
  <si>
    <t>Despesas com Seguro Desemprego</t>
  </si>
  <si>
    <t>Despesas com Seguro Desemprego</t>
  </si>
  <si>
    <t>Despesas com Seguro Desemprego</t>
  </si>
  <si>
    <t>Despesas com Seguro Desemprego</t>
  </si>
  <si>
    <t>Despesas com Seguro Desemprego</t>
  </si>
  <si>
    <t>Despesas de Pensionistas Militares</t>
  </si>
  <si>
    <t>Despesas de Pensionistas Militares</t>
  </si>
  <si>
    <t>Despesas de Pensionistas Militares</t>
  </si>
  <si>
    <t>Despesas de Pensionistas Militares</t>
  </si>
  <si>
    <t>Despesas de Pensionistas Militares</t>
  </si>
  <si>
    <t>Despesas de Pensionistas Militares</t>
  </si>
  <si>
    <t>Despesas de Pensionistas Militares</t>
  </si>
  <si>
    <t>Despesas de Pensionistas Militares</t>
  </si>
  <si>
    <t>Despesas de Pensionistas Militares</t>
  </si>
  <si>
    <t>Despesas com Abono Salarial</t>
  </si>
  <si>
    <t>Despesas com Abono Salarial</t>
  </si>
  <si>
    <t>Despesas com Abono Salarial</t>
  </si>
  <si>
    <t>Despesas com Abono Salarial</t>
  </si>
  <si>
    <t>Despesas com Abono Salarial</t>
  </si>
  <si>
    <t>Despesas com Abono Salarial</t>
  </si>
  <si>
    <t>Despesas com Abono Salarial</t>
  </si>
  <si>
    <t>Despesas com Abono Salarial</t>
  </si>
  <si>
    <t>Despesas com Abono Salarial</t>
  </si>
  <si>
    <t>Demais Despesas</t>
  </si>
  <si>
    <t>Demais Despesas</t>
  </si>
  <si>
    <t>Demais Despesas</t>
  </si>
  <si>
    <t>Demais Despesas</t>
  </si>
  <si>
    <t>Demais Despesas</t>
  </si>
  <si>
    <t>Demais Despesas</t>
  </si>
  <si>
    <t>Demais Despesas</t>
  </si>
  <si>
    <t>Demais Despesas</t>
  </si>
  <si>
    <t>Demais Despesas</t>
  </si>
  <si>
    <t>DRU</t>
  </si>
  <si>
    <t>DRU</t>
  </si>
  <si>
    <t>DRU</t>
  </si>
  <si>
    <t>DRU</t>
  </si>
  <si>
    <t>DRU</t>
  </si>
  <si>
    <t>DRU</t>
  </si>
  <si>
    <t>DRU</t>
  </si>
  <si>
    <t>DRU</t>
  </si>
  <si>
    <t>DRU</t>
  </si>
  <si>
    <t>Saldo/</t>
  </si>
  <si>
    <t>Saldo/</t>
  </si>
  <si>
    <t>Saldo/</t>
  </si>
  <si>
    <t>Saldo/</t>
  </si>
  <si>
    <t>Saldo/</t>
  </si>
  <si>
    <t>Saldo/</t>
  </si>
  <si>
    <t>Saldo/</t>
  </si>
  <si>
    <t>Saldo/</t>
  </si>
  <si>
    <t>13</t>
  </si>
  <si>
    <t>13</t>
  </si>
  <si>
    <t>23</t>
  </si>
  <si>
    <t>23</t>
  </si>
  <si>
    <t>25</t>
  </si>
  <si>
    <t>27</t>
  </si>
  <si>
    <t>25</t>
  </si>
  <si>
    <t>27</t>
  </si>
  <si>
    <t>28</t>
  </si>
  <si>
    <t>28</t>
  </si>
  <si>
    <t>13</t>
  </si>
  <si>
    <t>13</t>
  </si>
  <si>
    <t>23</t>
  </si>
  <si>
    <t>23</t>
  </si>
  <si>
    <t>25</t>
  </si>
  <si>
    <t>27</t>
  </si>
  <si>
    <t>25</t>
  </si>
  <si>
    <t>27</t>
  </si>
  <si>
    <t>28</t>
  </si>
  <si>
    <t>28</t>
  </si>
  <si>
    <t>13</t>
  </si>
  <si>
    <t>13</t>
  </si>
  <si>
    <t>23</t>
  </si>
  <si>
    <t>23</t>
  </si>
  <si>
    <t>25</t>
  </si>
  <si>
    <t>27</t>
  </si>
  <si>
    <t>25</t>
  </si>
  <si>
    <t>27</t>
  </si>
  <si>
    <t>28</t>
  </si>
  <si>
    <t>28</t>
  </si>
  <si>
    <t>13</t>
  </si>
  <si>
    <t>13</t>
  </si>
  <si>
    <t>23</t>
  </si>
  <si>
    <t>23</t>
  </si>
  <si>
    <t>25</t>
  </si>
  <si>
    <t>27</t>
  </si>
  <si>
    <t>25</t>
  </si>
  <si>
    <t>27</t>
  </si>
  <si>
    <t>28</t>
  </si>
  <si>
    <t>28</t>
  </si>
  <si>
    <t>13</t>
  </si>
  <si>
    <t>13</t>
  </si>
  <si>
    <t>23</t>
  </si>
  <si>
    <t>23</t>
  </si>
  <si>
    <t>25</t>
  </si>
  <si>
    <t>27</t>
  </si>
  <si>
    <t>25</t>
  </si>
  <si>
    <t>27</t>
  </si>
  <si>
    <t>28</t>
  </si>
  <si>
    <t>28</t>
  </si>
  <si>
    <t>13</t>
  </si>
  <si>
    <t>13</t>
  </si>
  <si>
    <t>23</t>
  </si>
  <si>
    <t>23</t>
  </si>
  <si>
    <t>25</t>
  </si>
  <si>
    <t>27</t>
  </si>
  <si>
    <t>25</t>
  </si>
  <si>
    <t>27</t>
  </si>
  <si>
    <t>28</t>
  </si>
  <si>
    <t>28</t>
  </si>
  <si>
    <t>13</t>
  </si>
  <si>
    <t>13</t>
  </si>
  <si>
    <t>23</t>
  </si>
  <si>
    <t>23</t>
  </si>
  <si>
    <t>25</t>
  </si>
  <si>
    <t>27</t>
  </si>
  <si>
    <t>25</t>
  </si>
  <si>
    <t>27</t>
  </si>
  <si>
    <t>28</t>
  </si>
  <si>
    <t>28</t>
  </si>
  <si>
    <t>13</t>
  </si>
  <si>
    <t>13</t>
  </si>
  <si>
    <t>23</t>
  </si>
  <si>
    <t>23</t>
  </si>
  <si>
    <t>25</t>
  </si>
  <si>
    <t>27</t>
  </si>
  <si>
    <t>25</t>
  </si>
  <si>
    <t>27</t>
  </si>
  <si>
    <t>28</t>
  </si>
  <si>
    <t>28</t>
  </si>
  <si>
    <t>13</t>
  </si>
  <si>
    <t>13</t>
  </si>
  <si>
    <t>23</t>
  </si>
  <si>
    <t>23</t>
  </si>
  <si>
    <t>25</t>
  </si>
  <si>
    <t>27</t>
  </si>
  <si>
    <t>25</t>
  </si>
  <si>
    <t>27</t>
  </si>
  <si>
    <t>28</t>
  </si>
  <si>
    <t>28</t>
  </si>
  <si>
    <t>13</t>
  </si>
  <si>
    <t>13</t>
  </si>
  <si>
    <t>23</t>
  </si>
  <si>
    <t>23</t>
  </si>
  <si>
    <t>25</t>
  </si>
  <si>
    <t>25</t>
  </si>
  <si>
    <t>27</t>
  </si>
  <si>
    <t>28</t>
  </si>
  <si>
    <t>28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</si>
</sst>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30" mc:Ignorable="x14ac">
  <numFmts count="3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General"/>
    <numFmt numFmtId="165" formatCode="0%"/>
    <numFmt numFmtId="166" formatCode="\ * #,##0.00\ ;\-* #,##0.00\ ;\ * \-#\ ;\ @\ "/>
    <numFmt numFmtId="167" formatCode="\ * #,##0.00\ ;\ * \(#,##0.00\);\ * \-#\ ;\ @\ "/>
    <numFmt numFmtId="168" formatCode="DD/MM/YYYY"/>
    <numFmt numFmtId="169" formatCode="\ * 0\ ;\ * \(0\);\ * \-#\ ;\ @\ "/>
    <numFmt numFmtId="170" formatCode="MMMM\-YY;@"/>
    <numFmt numFmtId="171" formatCode="#,##0;\-#,##0"/>
    <numFmt numFmtId="172" formatCode="MMM/YY"/>
    <numFmt numFmtId="173" formatCode="0.00"/>
    <numFmt numFmtId="174" formatCode="0.00%"/>
    <numFmt numFmtId="175" formatCode="#,##0.0"/>
    <numFmt numFmtId="176" formatCode="#,##0"/>
    <numFmt numFmtId="177" formatCode="\ * 0\ ;\-* 0\ ;\ * \-#\ ;\ @\ "/>
    <numFmt numFmtId="178" formatCode="0"/>
    <numFmt numFmtId="179" formatCode="0\ ;\-0\ "/>
    <numFmt numFmtId="180" formatCode="0.0%"/>
    <numFmt numFmtId="181" formatCode="\ * #,##0.000\ ;\ * \(#,##0.000\);\ * \-#\ ;\ @\ "/>
    <numFmt numFmtId="182" formatCode="\ * #,##0.000\ ;\-* #,##0.000\ ;\ * \-#\ ;\ @\ "/>
    <numFmt numFmtId="183" formatCode="@"/>
    <numFmt numFmtId="184" formatCode="MMMM&quot;, &quot;YYYY;@"/>
    <numFmt numFmtId="185" formatCode="#,##0.00;\(#,##0.00\)"/>
    <numFmt numFmtId="186" formatCode="\ * #,##0.0\ ;\-* #,##0.0\ ;\ * \-#\ ;\ @\ "/>
    <numFmt numFmtId="187" formatCode="0.0"/>
    <numFmt numFmtId="188" formatCode="#,##0.00\ ;\(#,##0.00\)"/>
    <numFmt numFmtId="189" formatCode="\ * #,##0.0\ ;\ * \(#,##0.0\);\ * \-#\ ;\ @\ "/>
    <numFmt numFmtId="190" formatCode="#,##0.00"/>
    <numFmt numFmtId="191" formatCode="0.00\ ;\-0.00\ "/>
    <numFmt numFmtId="192" formatCode="#,##0.0\ ;\-#,##0.0\ "/>
    <numFmt numFmtId="193" formatCode="#,##0.0\ ;\(#,##0.0\)"/>
  </numFmts>
  <fonts count="131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0"/>
    </font>
    <font>
      <name val="Arial"/>
      <color rgb="FF000000"/>
      <sz val="10"/>
    </font>
    <font>
      <name val="Calibri"/>
      <color rgb="FF0563C1"/>
      <sz val="11"/>
      <u val="single"/>
    </font>
    <font>
      <name val="Arial"/>
      <color rgb="FF0000FF"/>
      <sz val="10"/>
      <u val="single"/>
    </font>
    <font>
      <name val="Calibri"/>
      <color rgb="FF954F72"/>
      <sz val="11"/>
      <u val="single"/>
    </font>
    <font>
      <name val="Arial"/>
      <color rgb="FF000000"/>
      <sz val="10"/>
    </font>
    <font>
      <name val="Calibri"/>
      <color rgb="FF000000"/>
      <sz val="8"/>
    </font>
    <font>
      <name val="Calibri"/>
      <b/>
      <color rgb="FFFFFFFF"/>
      <sz val="8"/>
    </font>
    <font>
      <name val="Calibri"/>
      <color rgb="FFFF0000"/>
      <sz val="8"/>
    </font>
    <font>
      <name val="Tahoma"/>
      <b/>
      <color rgb="FF000000"/>
      <sz val="8"/>
    </font>
    <font>
      <name val="Tahoma"/>
      <color rgb="FF000000"/>
      <sz val="8"/>
    </font>
    <font>
      <name val="Arial Narrow"/>
      <family val="2"/>
      <color rgb="FF009999"/>
      <sz val="10"/>
    </font>
    <font>
      <name val="Arial Narrow"/>
      <family val="2"/>
      <b/>
      <color rgb="FF00B0F0"/>
      <sz val="10"/>
    </font>
    <font>
      <name val="Arial Narrow"/>
      <family val="2"/>
      <color rgb="FFA6A6A6"/>
      <sz val="9"/>
    </font>
    <font>
      <name val="Arial Narrow"/>
      <family val="2"/>
      <color rgb="FF002060"/>
      <sz val="14"/>
    </font>
    <font>
      <name val="Arial Narrow"/>
      <family val="2"/>
      <color rgb="FF0070C0"/>
      <sz val="14"/>
    </font>
    <font>
      <name val="Arial Narrow"/>
      <family val="2"/>
      <color rgb="FF000000"/>
      <sz val="12"/>
    </font>
    <font>
      <name val="Arial Narrow"/>
      <family val="2"/>
      <b/>
      <color rgb="FF000000"/>
      <sz val="12"/>
    </font>
    <font>
      <name val="Calibri"/>
      <family val="2"/>
      <color rgb="FF000000"/>
      <sz val="8"/>
    </font>
    <font>
      <name val="Calibri"/>
      <family val="2"/>
      <color rgb="FF000000"/>
      <sz val="10"/>
    </font>
    <font>
      <name val="Calibri"/>
      <family val="2"/>
      <b/>
      <color rgb="FF00B0F0"/>
      <sz val="11"/>
    </font>
    <font>
      <name val="Calibri"/>
      <family val="2"/>
      <color rgb="FF000000"/>
      <sz val="10"/>
    </font>
    <font>
      <name val="Arial Narrow"/>
      <color rgb="FF000000"/>
      <sz val="9"/>
    </font>
    <font>
      <name val="Arial Narrow"/>
      <b/>
      <color rgb="FFFFFFFF"/>
      <sz val="9"/>
    </font>
    <font>
      <name val="Arial Narrow"/>
      <b/>
      <color rgb="FF000000"/>
      <sz val="9"/>
    </font>
    <font>
      <name val="Arial Narrow"/>
      <color rgb="FF000000"/>
      <sz val="14"/>
    </font>
    <font>
      <name val="Arial Narrow"/>
      <i/>
      <color rgb="FF000000"/>
      <sz val="9"/>
    </font>
    <font>
      <name val="Arial Narrow"/>
      <color rgb="FFFFFFFF"/>
      <sz val="9"/>
    </font>
    <font>
      <name val="Arial Narrow"/>
      <b/>
      <color rgb="FF375623"/>
      <sz val="9"/>
    </font>
    <font>
      <name val="Segoe UI"/>
      <b/>
      <color rgb="FF000000"/>
      <sz val="9"/>
    </font>
    <font>
      <name val="Segoe UI"/>
      <color rgb="FF000000"/>
      <sz val="9"/>
    </font>
    <font>
      <name val="Times New Roman"/>
      <family val="1"/>
      <color rgb="FF000000"/>
      <sz val="12"/>
    </font>
    <font>
      <name val="Calibri"/>
      <family val="2"/>
      <color rgb="FF595959"/>
      <sz val="9"/>
    </font>
    <font>
      <name val="Calibri"/>
      <family val="2"/>
      <color rgb="FF595959"/>
      <sz val="10"/>
    </font>
    <font>
      <name val="Calibri"/>
      <family val="2"/>
      <b/>
      <color rgb="FFFFFFFF"/>
      <sz val="9"/>
    </font>
    <font>
      <name val="Calibri"/>
      <family val="2"/>
      <color rgb="FFFFFFFF"/>
      <sz val="9"/>
    </font>
    <font>
      <name val="Calibri"/>
      <color rgb="FFBFBFBF"/>
      <sz val="11"/>
    </font>
    <font>
      <name val="Calibri"/>
      <color rgb="FFD9D9D9"/>
      <sz val="11"/>
    </font>
    <font>
      <name val="Calibri"/>
      <color rgb="FFA6A6A6"/>
      <sz val="11"/>
    </font>
    <font>
      <name val="Calibri"/>
      <b/>
      <color rgb="FF000000"/>
      <sz val="11"/>
    </font>
    <font>
      <name val="Tahoma"/>
      <color rgb="FF000000"/>
      <sz val="18"/>
    </font>
    <font>
      <name val="Verdana"/>
      <b/>
      <color rgb="FF000000"/>
      <sz val="8"/>
    </font>
    <font>
      <name val="Verdana"/>
      <b/>
      <color rgb="FFBFBFBF"/>
      <sz val="8"/>
    </font>
    <font>
      <name val="Verdana"/>
      <b/>
      <color rgb="FFFFFFFF"/>
      <sz val="8"/>
    </font>
    <font>
      <name val="Verdana"/>
      <color rgb="FF000000"/>
      <sz val="8"/>
    </font>
    <font>
      <name val="Verdana"/>
      <color rgb="FFBFBFBF"/>
      <sz val="8"/>
    </font>
    <font>
      <name val="Times New Roman"/>
      <b/>
      <color rgb="FF000000"/>
      <sz val="8"/>
    </font>
    <font>
      <name val="Times New Roman"/>
      <b/>
      <color rgb="FFBFBFBF"/>
      <sz val="8"/>
    </font>
    <font>
      <name val="Times New Roman"/>
      <color rgb="FF000000"/>
      <sz val="8"/>
    </font>
    <font>
      <name val="Times New Roman"/>
      <color rgb="FFBFBFBF"/>
      <sz val="8"/>
    </font>
    <font>
      <name val="Arial Narrow"/>
      <family val="2"/>
      <color rgb="FF002060"/>
      <sz val="10"/>
    </font>
    <font>
      <name val="Arial Narrow"/>
      <family val="2"/>
      <color rgb="FF0070C0"/>
      <sz val="10"/>
    </font>
    <font>
      <name val="Arial Narrow"/>
      <family val="2"/>
      <color rgb="FF000000"/>
      <sz val="10"/>
    </font>
    <font>
      <name val="Arial Narrow"/>
      <family val="2"/>
      <color rgb="FF595959"/>
      <sz val="10"/>
    </font>
    <font>
      <name val="Arial Narrow"/>
      <family val="2"/>
      <color rgb="FF00B050"/>
      <sz val="10"/>
    </font>
    <font>
      <name val="Arial Narrow"/>
      <family val="2"/>
      <b/>
      <color rgb="FF595959"/>
      <sz val="10"/>
    </font>
    <font>
      <name val="Arial Narrow"/>
      <i/>
      <color rgb="FF000000"/>
      <sz val="10"/>
    </font>
    <font>
      <name val="Arial Narrow"/>
      <color rgb="FF000000"/>
      <sz val="11"/>
    </font>
    <font>
      <name val="Arial Narrow"/>
      <color rgb="FF000000"/>
      <sz val="10"/>
    </font>
    <font>
      <name val="Book Antiqua"/>
      <color rgb="FF000000"/>
      <sz val="10"/>
    </font>
    <font>
      <name val="Arial"/>
      <color rgb="FFFFFFFF"/>
      <sz val="12"/>
    </font>
    <font>
      <name val="Arial"/>
      <color rgb="FF000000"/>
      <sz val="12"/>
    </font>
    <font>
      <name val="Arial Narrow"/>
      <family val="2"/>
      <b/>
      <color rgb="FF404040"/>
      <sz val="16"/>
    </font>
    <font>
      <name val="Arial Narrow"/>
      <family val="2"/>
      <color rgb="FF595959"/>
      <sz val="14"/>
    </font>
    <font>
      <name val="Arial Narrow"/>
      <family val="2"/>
      <color rgb="FFFFFFFF"/>
      <sz val="11"/>
    </font>
    <font>
      <name val="Arial Narrow"/>
      <family val="2"/>
      <color rgb="FF595959"/>
      <sz val="10"/>
    </font>
    <font>
      <name val="Arial Narrow"/>
      <family val="2"/>
      <b/>
      <color rgb="FF000000"/>
      <sz val="16"/>
    </font>
    <font>
      <name val="Arial Narrow"/>
      <family val="2"/>
      <color rgb="FFFFFFFF"/>
      <sz val="16"/>
    </font>
    <font>
      <name val="Arial Narrow"/>
      <b/>
      <color rgb="FFFFFFFF"/>
      <sz val="10"/>
    </font>
    <font>
      <name val="Arial Narrow"/>
      <b/>
      <color rgb="FF000000"/>
      <sz val="10"/>
    </font>
    <font>
      <name val="Arial Narrow"/>
      <color rgb="FF000000"/>
      <sz val="8"/>
    </font>
    <font>
      <name val="Arial Narrow"/>
      <family val="2"/>
      <color rgb="FF000000"/>
      <sz val="16"/>
    </font>
    <font>
      <name val="Arial Narrow"/>
      <family val="2"/>
      <color rgb="FF000000"/>
      <sz val="14"/>
    </font>
    <font>
      <name val="Comic Sans MS"/>
      <family val="4"/>
      <color rgb="FF808080"/>
      <sz val="11"/>
    </font>
    <font>
      <name val="Comic Sans MS"/>
      <family val="4"/>
      <color rgb="FF000000"/>
      <sz val="11"/>
    </font>
    <font>
      <name val="Arial"/>
      <b/>
      <color rgb="FF000000"/>
      <sz val="11"/>
    </font>
    <font>
      <name val="Arial"/>
      <color rgb="FF808080"/>
      <sz val="11"/>
    </font>
    <font>
      <name val="Arial"/>
      <b/>
      <color rgb="FF808080"/>
      <sz val="11"/>
    </font>
    <font>
      <name val="Arial Narrow"/>
      <b/>
      <color rgb="FF000000"/>
      <sz val="11"/>
    </font>
    <font>
      <name val="Arial Narrow"/>
      <color rgb="FF000000"/>
      <sz val="12"/>
    </font>
    <font>
      <name val="Tahoma"/>
      <b/>
      <color rgb="FF000000"/>
      <sz val="9"/>
    </font>
    <font>
      <name val="Tahoma"/>
      <color rgb="FF000000"/>
      <sz val="9"/>
    </font>
    <font>
      <name val="Arial Narrow"/>
      <family val="2"/>
      <color rgb="FF000000"/>
      <sz val="18"/>
    </font>
    <font>
      <name val="Verdana"/>
      <b/>
      <color rgb="FFFFFFFF"/>
      <sz val="10"/>
    </font>
    <font>
      <name val="Verdana"/>
      <color rgb="FF000000"/>
      <sz val="10"/>
    </font>
    <font>
      <name val="Agency FB"/>
      <color rgb="FF000000"/>
      <sz val="10"/>
    </font>
    <font>
      <name val="Calibri"/>
      <color rgb="FF000000"/>
      <sz val="12"/>
    </font>
    <font>
      <name val="Arial Narrow"/>
      <b/>
      <color rgb="FF000000"/>
      <sz val="12"/>
    </font>
    <font>
      <name val="Arial Narrow"/>
      <b/>
      <color rgb="FFFF0000"/>
      <sz val="12"/>
    </font>
    <font>
      <name val="Calibri"/>
      <color rgb="FFC00000"/>
      <sz val="12"/>
    </font>
    <font>
      <name val="Times New Roman"/>
      <family val="1"/>
      <color rgb="FF000000"/>
      <sz val="8"/>
    </font>
    <font>
      <name val="Calibri"/>
      <b/>
      <color rgb="FFFFFFFF"/>
      <sz val="11"/>
    </font>
    <font>
      <name val="Times New Roman"/>
      <family val="1"/>
      <b/>
      <color rgb="FF000000"/>
      <sz val="8"/>
    </font>
    <font>
      <name val="Arial Narrow"/>
      <family val="2"/>
      <color rgb="FF595959"/>
      <sz val="12"/>
    </font>
    <font>
      <name val="Calibri"/>
      <color rgb="FF000000"/>
      <sz val="9"/>
    </font>
    <font>
      <name val="Calibri"/>
      <color rgb="FF000000"/>
      <sz val="10"/>
    </font>
    <font>
      <name val="Calibri"/>
      <b/>
      <color rgb="FF000000"/>
      <sz val="12"/>
    </font>
    <font>
      <name val="Calibri"/>
      <color rgb="FFD9D9D9"/>
      <sz val="8"/>
    </font>
    <font>
      <name val="Calibri"/>
      <color rgb="FFFFFFFF"/>
      <sz val="8"/>
    </font>
    <font>
      <name val="Agency FB"/>
      <color rgb="FF000000"/>
      <sz val="12"/>
    </font>
    <font>
      <name val="Arial Narrow"/>
      <family val="2"/>
      <color rgb="FF00B0F0"/>
      <sz val="16"/>
    </font>
    <font>
      <name val="Arial Narrow"/>
      <family val="2"/>
      <color rgb="FF002060"/>
      <sz val="16"/>
    </font>
    <font>
      <name val="Arial Narrow"/>
      <family val="2"/>
      <color rgb="FF44546A"/>
      <sz val="12"/>
    </font>
    <font>
      <name val="Arial Narrow"/>
      <family val="2"/>
      <i/>
      <color rgb="FF44546A"/>
      <sz val="12"/>
    </font>
    <font>
      <name val="Arial Narrow"/>
      <family val="2"/>
      <color rgb="FF002060"/>
      <sz val="13"/>
    </font>
    <font>
      <name val="Arial Narrow"/>
      <family val="2"/>
      <color rgb="FF00B0F0"/>
      <sz val="13"/>
    </font>
    <font>
      <name val="Calibri"/>
      <family val="2"/>
      <color rgb="FF44546A"/>
      <sz val="8"/>
    </font>
    <font>
      <name val="Calibri"/>
      <family val="2"/>
      <color rgb="FF525252"/>
      <sz val="8"/>
    </font>
    <font>
      <name val="Calibri"/>
      <family val="2"/>
      <color rgb="FF385723"/>
      <sz val="8"/>
    </font>
    <font>
      <name val="Calibri"/>
      <family val="2"/>
      <color rgb="FF404040"/>
      <sz val="11"/>
    </font>
    <font>
      <name val="Calibri"/>
      <family val="2"/>
      <color rgb="FF404040"/>
      <sz val="10"/>
    </font>
    <font>
      <name val="Arial Narrow"/>
      <family val="2"/>
      <b/>
      <color rgb="FF0070C0"/>
      <sz val="13"/>
    </font>
    <font>
      <name val="Arial Narrow"/>
      <family val="2"/>
      <b/>
      <color rgb="FF002060"/>
      <sz val="13"/>
    </font>
    <font>
      <name val="Arial Narrow"/>
      <family val="2"/>
      <color rgb="FF000000"/>
      <sz val="13"/>
    </font>
    <font>
      <name val="Calibri"/>
      <i/>
      <color rgb="FF000000"/>
      <sz val="11"/>
    </font>
    <font>
      <name val="Arial Narrow"/>
      <family val="2"/>
      <color rgb="FFFF0000"/>
      <sz val="14"/>
    </font>
    <font>
      <name val="Arial Narrow"/>
      <family val="2"/>
      <b/>
      <color rgb="FFC00000"/>
      <sz val="14"/>
    </font>
    <font>
      <name val="Arial Narrow"/>
      <family val="2"/>
      <b/>
      <color rgb="FF002060"/>
      <sz val="14"/>
    </font>
    <font>
      <name val="Arial Narrow"/>
      <family val="2"/>
      <b/>
      <color rgb="FFFFFFFF"/>
      <sz val="14"/>
    </font>
    <font>
      <name val="Arial Narrow"/>
      <family val="2"/>
      <b/>
      <color rgb="FFFFFFFF"/>
      <sz val="16"/>
    </font>
    <font>
      <name val="Arial Narrow"/>
      <family val="2"/>
      <b/>
      <color rgb="FF385723"/>
      <sz val="16"/>
    </font>
    <font>
      <name val="Agency FB"/>
      <family val="2"/>
      <b/>
      <color rgb="FF44546A"/>
      <sz val="10"/>
    </font>
    <font>
      <name val="Agency FB"/>
      <family val="2"/>
      <b/>
      <color rgb="FFC00000"/>
      <sz val="10"/>
    </font>
    <font>
      <name val="Agency FB"/>
      <family val="2"/>
      <b/>
      <color rgb="FF002060"/>
      <sz val="10"/>
    </font>
    <font>
      <name val="Agency FB"/>
      <family val="2"/>
      <b/>
      <color rgb="FF843C0C"/>
      <sz val="10"/>
    </font>
    <font>
      <name val="Agency FB"/>
      <family val="2"/>
      <b/>
      <color rgb="FF7F6000"/>
      <sz val="10"/>
    </font>
    <font>
      <name val="Agency FB"/>
      <family val="2"/>
      <color rgb="FF404040"/>
      <sz val="10"/>
    </font>
    <font>
      <name val="Arial"/>
      <b/>
      <color rgb="FFFFFFFF"/>
      <sz val="12"/>
    </font>
    <font>
      <name val="Arial"/>
      <b/>
      <color rgb="FF000000"/>
      <sz val="12"/>
    </font>
  </fonts>
  <fills count="26">
    <fill>
      <patternFill patternType="none"/>
    </fill>
    <fill>
      <patternFill patternType="gray125"/>
    </fill>
    <fill>
      <patternFill patternType="solid">
        <fgColor rgb="FFD9D9D9"/>
        <bgColor rgb="FFD6D6D6"/>
      </patternFill>
    </fill>
    <fill>
      <patternFill patternType="solid">
        <fgColor rgb="FF558435"/>
        <bgColor rgb="FF487B79"/>
      </patternFill>
    </fill>
    <fill>
      <patternFill patternType="solid">
        <fgColor rgb="FFC6E0B4"/>
        <bgColor rgb="FFC0DAD9"/>
      </patternFill>
    </fill>
    <fill>
      <patternFill patternType="solid">
        <fgColor rgb="FFFFFF00"/>
        <bgColor rgb="FFFFD966"/>
      </patternFill>
    </fill>
    <fill>
      <patternFill patternType="solid">
        <fgColor rgb="FF2F75B5"/>
        <bgColor rgb="FF2E75B6"/>
      </patternFill>
    </fill>
    <fill>
      <patternFill patternType="solid">
        <fgColor rgb="FF9BC2E6"/>
        <bgColor rgb="FF9DC3E6"/>
      </patternFill>
    </fill>
    <fill>
      <patternFill patternType="solid">
        <fgColor rgb="FFFFFFFF"/>
        <bgColor rgb="FFE7F1F1"/>
      </patternFill>
    </fill>
    <fill>
      <patternFill patternType="solid">
        <fgColor rgb="FFFFE699"/>
        <bgColor rgb="FFFFF2CC"/>
      </patternFill>
    </fill>
    <fill>
      <patternFill patternType="solid">
        <fgColor rgb="FFF4B084"/>
        <bgColor rgb="FFFFD966"/>
      </patternFill>
    </fill>
    <fill>
      <patternFill patternType="solid">
        <fgColor rgb="FF6688C1"/>
        <bgColor rgb="FF5B9BD5"/>
      </patternFill>
    </fill>
    <fill>
      <patternFill patternType="solid">
        <fgColor rgb="FFDEECFA"/>
        <bgColor rgb="FFE7F1F1"/>
      </patternFill>
    </fill>
    <fill>
      <patternFill patternType="solid">
        <fgColor rgb="FFE7E6E6"/>
        <bgColor rgb="FFE7F1F1"/>
      </patternFill>
    </fill>
    <fill>
      <patternFill patternType="solid">
        <fgColor rgb="FF1F6478"/>
        <bgColor rgb="FF1F4D79"/>
      </patternFill>
    </fill>
    <fill>
      <patternFill patternType="solid">
        <fgColor rgb="FFFFF2CC"/>
        <bgColor rgb="FFE7F1F1"/>
      </patternFill>
    </fill>
    <fill>
      <patternFill patternType="solid">
        <fgColor rgb="FFFFC000"/>
        <bgColor rgb="FFFFD966"/>
      </patternFill>
    </fill>
    <fill>
      <patternFill patternType="solid">
        <fgColor rgb="FFD0CECE"/>
        <bgColor rgb="FFD6D6D6"/>
      </patternFill>
    </fill>
    <fill>
      <patternFill patternType="solid">
        <fgColor rgb="FF00A2A2"/>
        <bgColor rgb="FF009999"/>
      </patternFill>
    </fill>
    <fill>
      <patternFill patternType="solid">
        <fgColor rgb="FFD6D6D6"/>
        <bgColor rgb="FFD9D9D9"/>
      </patternFill>
    </fill>
    <fill>
      <patternFill patternType="solid">
        <fgColor rgb="FF1F4D79"/>
        <bgColor rgb="FF1F6478"/>
      </patternFill>
    </fill>
    <fill>
      <patternFill patternType="solid">
        <fgColor rgb="FFFFD966"/>
        <bgColor rgb="FFFFE699"/>
      </patternFill>
    </fill>
    <fill>
      <patternFill patternType="solid">
        <fgColor rgb="FF808080"/>
        <bgColor rgb="FF898989"/>
      </patternFill>
    </fill>
    <fill>
      <patternFill patternType="solid">
        <fgColor rgb="FF487B79"/>
        <bgColor rgb="FF2F75B5"/>
      </patternFill>
    </fill>
    <fill>
      <patternFill patternType="solid">
        <fgColor rgb="FFC0DAD9"/>
        <bgColor rgb="FFD6D6D6"/>
      </patternFill>
    </fill>
    <fill>
      <patternFill patternType="solid">
        <fgColor rgb="FFE7F1F1"/>
        <bgColor rgb="FFDEECFA"/>
      </patternFill>
    </fill>
  </fills>
  <borders count="109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 style="none">
        <color rgb="FF000000"/>
      </diagonal>
    </border>
    <border>
      <left style="medium">
        <color rgb="FFFF0000"/>
      </left>
      <right style="medium">
        <color rgb="FFFF0000"/>
      </right>
      <top style="none">
        <color rgb="FF000000"/>
      </top>
      <bottom style="medium">
        <color rgb="FFFF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medium">
        <color rgb="FF000000"/>
      </top>
      <bottom style="none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medium">
        <color rgb="FF000000"/>
      </top>
      <bottom style="none">
        <color rgb="FF000000"/>
      </bottom>
      <diagonal style="none">
        <color rgb="FF000000"/>
      </diagonal>
    </border>
    <border>
      <left style="hair">
        <color rgb="FF000000"/>
      </left>
      <right style="none">
        <color rgb="FF000000"/>
      </right>
      <top style="medium">
        <color rgb="FF000000"/>
      </top>
      <bottom style="none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none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none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none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none">
        <color rgb="FF000000"/>
      </right>
      <top style="none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none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hair">
        <color rgb="FF000000"/>
      </top>
      <bottom style="none">
        <color rgb="FF000000"/>
      </bottom>
      <diagonal style="none">
        <color rgb="FF000000"/>
      </diagonal>
    </border>
    <border>
      <left style="hair">
        <color rgb="FF000000"/>
      </left>
      <right style="none">
        <color rgb="FF000000"/>
      </right>
      <top style="hair">
        <color rgb="FF000000"/>
      </top>
      <bottom style="none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hair">
        <color rgb="FF000000"/>
      </top>
      <bottom style="none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none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none">
        <color rgb="FF000000"/>
      </right>
      <top style="none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none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non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none">
        <color rgb="FF000000"/>
      </right>
      <top style="medium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medium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medium">
        <color rgb="FF000000"/>
      </right>
      <top style="medium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medium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808080"/>
      </right>
      <top style="hair">
        <color rgb="FF808080"/>
      </top>
      <bottom style="hair">
        <color rgb="FF808080"/>
      </bottom>
      <diagonal style="none">
        <color rgb="FF000000"/>
      </diagonal>
    </border>
    <border>
      <left style="hair">
        <color rgb="FF808080"/>
      </left>
      <right style="none">
        <color rgb="FF000000"/>
      </right>
      <top style="hair">
        <color rgb="FF808080"/>
      </top>
      <bottom style="hair">
        <color rgb="FF808080"/>
      </bottom>
      <diagonal style="none">
        <color rgb="FF000000"/>
      </diagonal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808080"/>
      </bottom>
      <diagonal style="none">
        <color rgb="FF000000"/>
      </diagonal>
    </border>
    <border>
      <left style="none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hair">
        <color rgb="FF808080"/>
      </left>
      <right style="none">
        <color rgb="FF000000"/>
      </right>
      <top style="none">
        <color rgb="FF000000"/>
      </top>
      <bottom style="hair">
        <color rgb="FF808080"/>
      </bottom>
      <diagonal style="none">
        <color rgb="FF000000"/>
      </diagonal>
    </border>
    <border>
      <left style="hair">
        <color rgb="FF808080"/>
      </left>
      <right style="hair">
        <color rgb="FF808080"/>
      </right>
      <top style="none">
        <color rgb="FF000000"/>
      </top>
      <bottom style="hair">
        <color rgb="FF80808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none">
        <color rgb="FF000000"/>
      </top>
      <bottom style="hair">
        <color rgb="FF808080"/>
      </bottom>
      <diagonal style="none">
        <color rgb="FF000000"/>
      </diagonal>
    </border>
    <border>
      <left style="medium">
        <color rgb="FF000000"/>
      </left>
      <right style="none">
        <color rgb="FF000000"/>
      </right>
      <top style="none">
        <color rgb="FF000000"/>
      </top>
      <bottom style="hair">
        <color rgb="FFC0C0C0"/>
      </bottom>
      <diagonal style="none">
        <color rgb="FF000000"/>
      </diagonal>
    </border>
    <border>
      <left style="hair">
        <color rgb="FF80808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hair">
        <color rgb="FF808080"/>
      </left>
      <right style="hair">
        <color rgb="FF80808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medium">
        <color rgb="FF000000"/>
      </right>
      <top style="hair">
        <color rgb="FF000000"/>
      </top>
      <bottom style="none">
        <color rgb="FF000000"/>
      </bottom>
      <diagonal style="none">
        <color rgb="FF000000"/>
      </diagonal>
    </border>
    <border>
      <left style="hair">
        <color rgb="FF808080"/>
      </left>
      <right style="none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808080"/>
      </left>
      <right style="hair">
        <color rgb="FF80808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non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hair">
        <color rgb="FF808080"/>
      </bottom>
      <diagonal style="none">
        <color rgb="FF000000"/>
      </diagonal>
    </border>
    <border>
      <left style="none">
        <color rgb="FF000000"/>
      </left>
      <right style="hair">
        <color rgb="FF000000"/>
      </right>
      <top style="hair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medium">
        <color rgb="FF000000"/>
      </bottom>
      <diagonal style="none">
        <color rgb="FF000000"/>
      </diagonal>
    </border>
    <border>
      <left style="none">
        <color rgb="FF000000"/>
      </left>
      <right style="medium">
        <color rgb="FF000000"/>
      </right>
      <top style="none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hair">
        <color rgb="FF808080"/>
      </left>
      <right style="none">
        <color rgb="FF000000"/>
      </right>
      <top style="none">
        <color rgb="FF000000"/>
      </top>
      <bottom style="hair">
        <color rgb="FFC0C0C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none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none">
        <color rgb="FF000000"/>
      </left>
      <right style="hair">
        <color rgb="FFBFBFBF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hair">
        <color rgb="FFBFBFBF"/>
      </left>
      <right style="hair">
        <color rgb="FFBFBFBF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hair">
        <color rgb="FFBFBFBF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hair">
        <color rgb="FFBFBFBF"/>
      </right>
      <top style="none">
        <color rgb="FF000000"/>
      </top>
      <bottom style="hair">
        <color rgb="FFD9D9D9"/>
      </bottom>
      <diagonal style="none">
        <color rgb="FF000000"/>
      </diagonal>
    </border>
    <border>
      <left style="hair">
        <color rgb="FFBFBFBF"/>
      </left>
      <right style="hair">
        <color rgb="FFBFBFBF"/>
      </right>
      <top style="none">
        <color rgb="FF000000"/>
      </top>
      <bottom style="hair">
        <color rgb="FFD9D9D9"/>
      </bottom>
      <diagonal style="none">
        <color rgb="FF000000"/>
      </diagonal>
    </border>
    <border>
      <left style="hair">
        <color rgb="FFBFBFBF"/>
      </left>
      <right style="none">
        <color rgb="FF000000"/>
      </right>
      <top style="none">
        <color rgb="FF000000"/>
      </top>
      <bottom style="hair">
        <color rgb="FFD9D9D9"/>
      </bottom>
      <diagonal style="none">
        <color rgb="FF000000"/>
      </diagonal>
    </border>
    <border>
      <left style="none">
        <color rgb="FF000000"/>
      </left>
      <right style="hair">
        <color rgb="FFBFBFBF"/>
      </right>
      <top style="hair">
        <color rgb="FFD9D9D9"/>
      </top>
      <bottom style="hair">
        <color rgb="FFD9D9D9"/>
      </bottom>
      <diagonal style="none">
        <color rgb="FF000000"/>
      </diagonal>
    </border>
    <border>
      <left style="hair">
        <color rgb="FFBFBFBF"/>
      </left>
      <right style="none">
        <color rgb="FF000000"/>
      </right>
      <top style="hair">
        <color rgb="FFD9D9D9"/>
      </top>
      <bottom style="hair">
        <color rgb="FFD9D9D9"/>
      </bottom>
      <diagonal style="none">
        <color rgb="FF000000"/>
      </diagonal>
    </border>
    <border>
      <left style="none">
        <color rgb="FF000000"/>
      </left>
      <right style="hair">
        <color rgb="FFBFBFBF"/>
      </right>
      <top style="hair">
        <color rgb="FFD9D9D9"/>
      </top>
      <bottom style="none">
        <color rgb="FF000000"/>
      </bottom>
      <diagonal style="none">
        <color rgb="FF000000"/>
      </diagonal>
    </border>
    <border>
      <left style="hair">
        <color rgb="FFBFBFBF"/>
      </left>
      <right style="none">
        <color rgb="FF000000"/>
      </right>
      <top style="hair">
        <color rgb="FFD9D9D9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hair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hair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hair">
        <color rgb="FF000000"/>
      </right>
      <top style="none">
        <color rgb="FF000000"/>
      </top>
      <bottom style="hair">
        <color rgb="FF000000"/>
      </bottom>
      <diagonal style="none">
        <color rgb="FF000000"/>
      </diagonal>
    </border>
    <border>
      <left style="none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none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none">
        <color rgb="FF000000"/>
      </left>
      <right style="hair">
        <color rgb="FFD9D9D9"/>
      </right>
      <top style="none">
        <color rgb="FF000000"/>
      </top>
      <bottom style="hair">
        <color rgb="FFBFBFBF"/>
      </bottom>
      <diagonal style="none">
        <color rgb="FF000000"/>
      </diagonal>
    </border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BFBFBF"/>
      </bottom>
      <diagonal style="none">
        <color rgb="FF000000"/>
      </diagonal>
    </border>
    <border>
      <left style="hair">
        <color rgb="FFBFBFBF"/>
      </left>
      <right style="hair">
        <color rgb="FFD9D9D9"/>
      </right>
      <top style="hair">
        <color rgb="FFBFBFBF"/>
      </top>
      <bottom style="hair">
        <color rgb="FFBFBFBF"/>
      </bottom>
      <diagonal style="none">
        <color rgb="FF000000"/>
      </diagonal>
    </border>
    <border>
      <left style="hair">
        <color rgb="FFD9D9D9"/>
      </left>
      <right style="hair">
        <color rgb="FFD9D9D9"/>
      </right>
      <top style="hair">
        <color rgb="FFBFBFBF"/>
      </top>
      <bottom style="hair">
        <color rgb="FFBFBFBF"/>
      </bottom>
      <diagonal style="none">
        <color rgb="FF000000"/>
      </diagonal>
    </border>
    <border>
      <left style="hair">
        <color rgb="FFBFBFBF"/>
      </left>
      <right style="hair">
        <color rgb="FFD9D9D9"/>
      </right>
      <top style="hair">
        <color rgb="FFBFBFBF"/>
      </top>
      <bottom style="hair">
        <color rgb="FFD9D9D9"/>
      </bottom>
      <diagonal style="none">
        <color rgb="FF000000"/>
      </diagonal>
    </border>
    <border>
      <left style="hair">
        <color rgb="FFD9D9D9"/>
      </left>
      <right style="hair">
        <color rgb="FFD9D9D9"/>
      </right>
      <top style="hair">
        <color rgb="FFBFBFBF"/>
      </top>
      <bottom style="hair">
        <color rgb="FFD9D9D9"/>
      </bottom>
      <diagonal style="none">
        <color rgb="FF000000"/>
      </diagonal>
    </border>
    <border>
      <left style="hair">
        <color rgb="FFFFFFFF"/>
      </left>
      <right style="hair">
        <color rgb="FFFFFFFF"/>
      </right>
      <top style="none">
        <color rgb="FF000000"/>
      </top>
      <bottom style="hair">
        <color rgb="FFFFFFFF"/>
      </bottom>
      <diagonal style="none">
        <color rgb="FF000000"/>
      </diagonal>
    </border>
    <border>
      <left style="hair">
        <color rgb="FFFFFFFF"/>
      </left>
      <right style="none">
        <color rgb="FF000000"/>
      </right>
      <top style="none">
        <color rgb="FF000000"/>
      </top>
      <bottom style="hair">
        <color rgb="FFFFFFFF"/>
      </bottom>
      <diagonal style="none">
        <color rgb="FF000000"/>
      </diagonal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>
        <color rgb="FF000000"/>
      </diagonal>
    </border>
    <border>
      <left style="hair">
        <color rgb="FFFFFFFF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hair">
        <color rgb="FF000000"/>
      </left>
      <right style="hair">
        <color rgb="FF808080"/>
      </right>
      <top style="hair">
        <color rgb="FF000000"/>
      </top>
      <bottom style="hair">
        <color rgb="FF808080"/>
      </bottom>
      <diagonal style="none">
        <color rgb="FF000000"/>
      </diagonal>
    </border>
    <border>
      <left style="hair">
        <color rgb="FF808080"/>
      </left>
      <right style="hair">
        <color rgb="FF808080"/>
      </right>
      <top style="hair">
        <color rgb="FF000000"/>
      </top>
      <bottom style="hair">
        <color rgb="FF808080"/>
      </bottom>
      <diagonal style="none">
        <color rgb="FF000000"/>
      </diagonal>
    </border>
    <border>
      <left style="hair">
        <color rgb="FF808080"/>
      </left>
      <right style="hair">
        <color rgb="FF000000"/>
      </right>
      <top style="hair">
        <color rgb="FF000000"/>
      </top>
      <bottom style="hair">
        <color rgb="FF808080"/>
      </bottom>
      <diagonal style="none">
        <color rgb="FF000000"/>
      </diagonal>
    </border>
    <border>
      <left style="hair">
        <color rgb="FF000000"/>
      </left>
      <right style="hair">
        <color rgb="FF808080"/>
      </right>
      <top style="hair">
        <color rgb="FF808080"/>
      </top>
      <bottom style="hair">
        <color rgb="FF808080"/>
      </bottom>
      <diagonal style="none">
        <color rgb="FF000000"/>
      </diagonal>
    </border>
    <border>
      <left style="hair">
        <color rgb="FF808080"/>
      </left>
      <right style="hair">
        <color rgb="FF000000"/>
      </right>
      <top style="hair">
        <color rgb="FF808080"/>
      </top>
      <bottom style="hair">
        <color rgb="FF808080"/>
      </bottom>
      <diagonal style="none">
        <color rgb="FF000000"/>
      </diagonal>
    </border>
    <border>
      <left style="hair">
        <color rgb="FF000000"/>
      </left>
      <right style="hair">
        <color rgb="FF808080"/>
      </right>
      <top style="hair">
        <color rgb="FF808080"/>
      </top>
      <bottom style="hair">
        <color rgb="FF000000"/>
      </bottom>
      <diagonal style="none">
        <color rgb="FF000000"/>
      </diagonal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000000"/>
      </bottom>
      <diagonal style="none">
        <color rgb="FF000000"/>
      </diagonal>
    </border>
    <border>
      <left style="hair">
        <color rgb="FF808080"/>
      </left>
      <right style="hair">
        <color rgb="FF000000"/>
      </right>
      <top style="hair">
        <color rgb="FF80808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hair">
        <color rgb="FF000000"/>
      </left>
      <right style="hair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 style="none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 style="none">
        <color rgb="FF000000"/>
      </diagonal>
    </border>
    <border>
      <left style="none">
        <color rgb="FF000000"/>
      </left>
      <right style="hair">
        <color rgb="FFA9D08E"/>
      </right>
      <top style="hair">
        <color rgb="FFA9D08E"/>
      </top>
      <bottom style="hair">
        <color rgb="FFA9D08E"/>
      </bottom>
      <diagonal style="none">
        <color rgb="FF000000"/>
      </diagonal>
    </border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D9D9D9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hair">
        <color rgb="FF808080"/>
      </top>
      <bottom style="hair">
        <color rgb="FF80808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hair">
        <color rgb="FF80808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hair">
        <color rgb="FFFFFFFF"/>
      </right>
      <top style="none">
        <color rgb="FF000000"/>
      </top>
      <bottom style="hair">
        <color rgb="FFFFFFFF"/>
      </bottom>
      <diagonal style="none">
        <color rgb="FF000000"/>
      </diagonal>
    </border>
    <border>
      <left style="none">
        <color rgb="FF000000"/>
      </left>
      <right style="hair">
        <color rgb="FFE7E6E6"/>
      </right>
      <top style="hair">
        <color rgb="FFFFFFFF"/>
      </top>
      <bottom style="hair">
        <color rgb="FFFFFFFF"/>
      </bottom>
      <diagonal style="none">
        <color rgb="FF000000"/>
      </diagonal>
    </border>
    <border>
      <left style="hair">
        <color rgb="FFE7E6E6"/>
      </left>
      <right style="hair">
        <color rgb="FFFFFFFF"/>
      </right>
      <top style="hair">
        <color rgb="FFFFFFFF"/>
      </top>
      <bottom style="hair">
        <color rgb="FFFFFFFF"/>
      </bottom>
      <diagonal style="none">
        <color rgb="FF000000"/>
      </diagonal>
    </border>
    <border>
      <left style="hair">
        <color rgb="FFE7E6E6"/>
      </left>
      <right style="none">
        <color rgb="FF000000"/>
      </right>
      <top style="hair">
        <color rgb="FFFFFFFF"/>
      </top>
      <bottom style="hair">
        <color rgb="FFFFFFFF"/>
      </bottom>
      <diagonal style="none">
        <color rgb="FF000000"/>
      </diagonal>
    </border>
  </borders>
  <cellStyleXfs count="47">
    <xf numFmtId="164" fontId="0" fillId="0" borderId="0" xfId="0" applyNumberFormat="1"/>
    <xf numFmtId="0" fontId="1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3" fontId="1" fillId="0" borderId="0" xfId="0" applyNumberFormat="1" applyFont="1"/>
    <xf numFmtId="41" fontId="1" fillId="0" borderId="0" xfId="0" applyNumberFormat="1" applyFont="1"/>
    <xf numFmtId="44" fontId="1" fillId="0" borderId="0" xfId="0" applyNumberFormat="1" applyFont="1"/>
    <xf numFmtId="42" fontId="1" fillId="0" borderId="0" xfId="0" applyNumberFormat="1" applyFont="1"/>
    <xf numFmtId="9" fontId="1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4" fontId="7" fillId="0" borderId="0" xfId="0" applyNumberFormat="1" applyFont="1"/>
    <xf numFmtId="164" fontId="7" fillId="0" borderId="0" xfId="0" applyNumberFormat="1" applyFont="1"/>
    <xf numFmtId="164" fontId="7" fillId="0" borderId="0" xfId="0" applyNumberFormat="1" applyFont="1"/>
    <xf numFmtId="164" fontId="7" fillId="0" borderId="0" xfId="0" applyNumberFormat="1" applyFont="1"/>
    <xf numFmtId="164" fontId="7" fillId="0" borderId="0" xfId="0" applyNumberFormat="1" applyFont="1"/>
    <xf numFmtId="164" fontId="0" fillId="0" borderId="0" xfId="0" applyNumberFormat="1"/>
    <xf numFmtId="164" fontId="0" fillId="0" borderId="0" xfId="0" applyNumberFormat="1"/>
    <xf numFmtId="164" fontId="7" fillId="0" borderId="0" xfId="0" applyNumberFormat="1" applyFont="1"/>
    <xf numFmtId="164" fontId="7" fillId="0" borderId="0" xfId="0" applyNumberFormat="1" applyFont="1"/>
    <xf numFmtId="164" fontId="7" fillId="0" borderId="0" xfId="0" applyNumberFormat="1" applyFon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</cellStyleXfs>
  <cellXfs count="528"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8" fontId="0" fillId="0" borderId="0" xfId="0" applyNumberFormat="1"/>
    <xf numFmtId="164" fontId="8" fillId="0" borderId="0" xfId="0" applyNumberFormat="1" applyFont="1"/>
    <xf numFmtId="169" fontId="8" fillId="0" borderId="0" xfId="0" applyNumberFormat="1" applyFont="1"/>
    <xf numFmtId="170" fontId="8" fillId="2" borderId="0" xfId="0" applyNumberFormat="1" applyFont="1" applyFill="1" applyAlignment="1">
      <alignment horizontal="center"/>
    </xf>
    <xf numFmtId="167" fontId="8" fillId="0" borderId="0" xfId="0" applyNumberFormat="1" applyFont="1"/>
    <xf numFmtId="171" fontId="8" fillId="2" borderId="0" xfId="0" applyNumberFormat="1" applyFont="1" applyFill="1"/>
    <xf numFmtId="169" fontId="8" fillId="2" borderId="0" xfId="0" applyNumberFormat="1" applyFont="1" applyFill="1"/>
    <xf numFmtId="167" fontId="8" fillId="2" borderId="0" xfId="0" applyNumberFormat="1" applyFont="1" applyFill="1"/>
    <xf numFmtId="171" fontId="8" fillId="0" borderId="0" xfId="0" applyNumberFormat="1" applyFont="1"/>
    <xf numFmtId="171" fontId="8" fillId="0" borderId="0" xfId="0" applyNumberFormat="1" applyFont="1"/>
    <xf numFmtId="169" fontId="8" fillId="0" borderId="0" xfId="0" applyNumberFormat="1" applyFont="1"/>
    <xf numFmtId="167" fontId="8" fillId="0" borderId="0" xfId="0" applyNumberFormat="1" applyFont="1"/>
    <xf numFmtId="169" fontId="8" fillId="2" borderId="0" xfId="0" applyNumberFormat="1" applyFont="1" applyFill="1"/>
    <xf numFmtId="172" fontId="8" fillId="0" borderId="0" xfId="0" applyNumberFormat="1" applyFont="1"/>
    <xf numFmtId="168" fontId="8" fillId="0" borderId="0" xfId="0" applyNumberFormat="1" applyFont="1"/>
    <xf numFmtId="164" fontId="9" fillId="3" borderId="0" xfId="0" applyNumberFormat="1" applyFont="1" applyFill="1" applyAlignment="1">
      <alignment horizontal="center"/>
    </xf>
    <xf numFmtId="173" fontId="8" fillId="4" borderId="0" xfId="0" applyNumberFormat="1" applyFont="1" applyFill="1" applyAlignment="1">
      <alignment horizontal="center"/>
    </xf>
    <xf numFmtId="170" fontId="8" fillId="4" borderId="0" xfId="0" applyNumberFormat="1" applyFont="1" applyFill="1" applyAlignment="1">
      <alignment horizontal="center"/>
    </xf>
    <xf numFmtId="170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7" fontId="8" fillId="0" borderId="1" xfId="0" applyNumberFormat="1" applyFont="1" applyBorder="1"/>
    <xf numFmtId="174" fontId="8" fillId="0" borderId="0" xfId="0" applyNumberFormat="1" applyFont="1"/>
    <xf numFmtId="167" fontId="8" fillId="0" borderId="2" xfId="0" applyNumberFormat="1" applyFont="1" applyBorder="1"/>
    <xf numFmtId="164" fontId="10" fillId="5" borderId="0" xfId="0" applyNumberFormat="1" applyFont="1" applyFill="1" applyAlignment="1">
      <alignment horizontal="center" vertical="center" wrapText="1"/>
    </xf>
    <xf numFmtId="164" fontId="24" fillId="0" borderId="0" xfId="0" applyNumberFormat="1" applyFont="1"/>
    <xf numFmtId="174" fontId="24" fillId="0" borderId="0" xfId="0" applyNumberFormat="1" applyFont="1"/>
    <xf numFmtId="164" fontId="25" fillId="6" borderId="0" xfId="0" applyNumberFormat="1" applyFont="1" applyFill="1" applyAlignment="1">
      <alignment horizontal="center"/>
    </xf>
    <xf numFmtId="164" fontId="26" fillId="0" borderId="0" xfId="0" applyNumberFormat="1" applyFont="1"/>
    <xf numFmtId="177" fontId="26" fillId="0" borderId="0" xfId="0" applyNumberFormat="1" applyFont="1"/>
    <xf numFmtId="169" fontId="24" fillId="0" borderId="0" xfId="0" applyNumberFormat="1" applyFont="1"/>
    <xf numFmtId="164" fontId="25" fillId="6" borderId="0" xfId="0" applyNumberFormat="1" applyFont="1" applyFill="1"/>
    <xf numFmtId="177" fontId="25" fillId="6" borderId="0" xfId="0" applyNumberFormat="1" applyFont="1" applyFill="1"/>
    <xf numFmtId="165" fontId="24" fillId="0" borderId="0" xfId="0" applyNumberFormat="1" applyFont="1"/>
    <xf numFmtId="177" fontId="24" fillId="0" borderId="0" xfId="0" applyNumberFormat="1" applyFont="1"/>
    <xf numFmtId="177" fontId="24" fillId="0" borderId="0" xfId="0" applyNumberFormat="1" applyFont="1"/>
    <xf numFmtId="168" fontId="24" fillId="0" borderId="0" xfId="0" applyNumberFormat="1" applyFont="1"/>
    <xf numFmtId="174" fontId="27" fillId="0" borderId="0" xfId="0" applyNumberFormat="1" applyFont="1" applyAlignment="1">
      <alignment horizontal="left" vertical="top" wrapText="1"/>
    </xf>
    <xf numFmtId="164" fontId="28" fillId="0" borderId="0" xfId="0" applyNumberFormat="1" applyFont="1"/>
    <xf numFmtId="177" fontId="24" fillId="5" borderId="0" xfId="0" applyNumberFormat="1" applyFont="1" applyFill="1"/>
    <xf numFmtId="178" fontId="24" fillId="0" borderId="0" xfId="0" applyNumberFormat="1" applyFont="1"/>
    <xf numFmtId="179" fontId="24" fillId="0" borderId="0" xfId="0" applyNumberFormat="1" applyFont="1"/>
    <xf numFmtId="169" fontId="24" fillId="0" borderId="0" xfId="0" applyNumberFormat="1" applyFont="1"/>
    <xf numFmtId="164" fontId="29" fillId="6" borderId="0" xfId="0" applyNumberFormat="1" applyFont="1" applyFill="1"/>
    <xf numFmtId="177" fontId="29" fillId="6" borderId="0" xfId="0" applyNumberFormat="1" applyFont="1" applyFill="1"/>
    <xf numFmtId="164" fontId="24" fillId="0" borderId="0" xfId="0" applyNumberFormat="1" applyFont="1" applyAlignment="1">
      <alignment horizontal="left"/>
    </xf>
    <xf numFmtId="174" fontId="24" fillId="0" borderId="0" xfId="0" applyNumberFormat="1" applyFont="1" applyAlignment="1">
      <alignment horizontal="center"/>
    </xf>
    <xf numFmtId="180" fontId="24" fillId="0" borderId="0" xfId="0" applyNumberFormat="1" applyFont="1"/>
    <xf numFmtId="164" fontId="28" fillId="0" borderId="0" xfId="0" applyNumberFormat="1" applyFont="1" applyAlignment="1">
      <alignment horizontal="left"/>
    </xf>
    <xf numFmtId="164" fontId="24" fillId="0" borderId="0" xfId="0" applyNumberFormat="1" applyFont="1"/>
    <xf numFmtId="181" fontId="24" fillId="0" borderId="0" xfId="0" applyNumberFormat="1" applyFont="1"/>
    <xf numFmtId="164" fontId="26" fillId="7" borderId="0" xfId="0" applyNumberFormat="1" applyFont="1" applyFill="1"/>
    <xf numFmtId="177" fontId="26" fillId="7" borderId="0" xfId="0" applyNumberFormat="1" applyFont="1" applyFill="1"/>
    <xf numFmtId="179" fontId="26" fillId="7" borderId="0" xfId="0" applyNumberFormat="1" applyFont="1" applyFill="1" applyAlignment="1">
      <alignment horizontal="right"/>
    </xf>
    <xf numFmtId="179" fontId="24" fillId="0" borderId="0" xfId="0" applyNumberFormat="1" applyFont="1" applyAlignment="1">
      <alignment horizontal="right"/>
    </xf>
    <xf numFmtId="167" fontId="24" fillId="0" borderId="0" xfId="0" applyNumberFormat="1" applyFont="1"/>
    <xf numFmtId="182" fontId="24" fillId="0" borderId="0" xfId="0" applyNumberFormat="1" applyFont="1"/>
    <xf numFmtId="178" fontId="24" fillId="0" borderId="0" xfId="0" applyNumberFormat="1" applyFont="1"/>
    <xf numFmtId="179" fontId="25" fillId="6" borderId="0" xfId="0" applyNumberFormat="1" applyFont="1" applyFill="1"/>
    <xf numFmtId="169" fontId="24" fillId="2" borderId="0" xfId="0" applyNumberFormat="1" applyFont="1" applyFill="1"/>
    <xf numFmtId="164" fontId="4" fillId="0" borderId="0" xfId="0" applyNumberFormat="1" applyFont="1"/>
    <xf numFmtId="180" fontId="29" fillId="6" borderId="0" xfId="0" applyNumberFormat="1" applyFont="1" applyFill="1"/>
    <xf numFmtId="165" fontId="4" fillId="0" borderId="0" xfId="0" applyNumberFormat="1" applyFont="1"/>
    <xf numFmtId="172" fontId="25" fillId="6" borderId="0" xfId="0" applyNumberFormat="1" applyFont="1" applyFill="1" applyAlignment="1">
      <alignment horizontal="center"/>
    </xf>
    <xf numFmtId="183" fontId="25" fillId="6" borderId="0" xfId="0" applyNumberFormat="1" applyFont="1" applyFill="1" applyAlignment="1">
      <alignment horizontal="center"/>
    </xf>
    <xf numFmtId="178" fontId="24" fillId="8" borderId="0" xfId="0" applyNumberFormat="1" applyFont="1" applyFill="1"/>
    <xf numFmtId="164" fontId="25" fillId="6" borderId="3" xfId="0" applyNumberFormat="1" applyFont="1" applyFill="1" applyBorder="1"/>
    <xf numFmtId="164" fontId="25" fillId="6" borderId="4" xfId="0" applyNumberFormat="1" applyFont="1" applyFill="1" applyBorder="1" applyAlignment="1">
      <alignment horizontal="center"/>
    </xf>
    <xf numFmtId="164" fontId="25" fillId="6" borderId="5" xfId="0" applyNumberFormat="1" applyFont="1" applyFill="1" applyBorder="1" applyAlignment="1">
      <alignment horizontal="center"/>
    </xf>
    <xf numFmtId="164" fontId="25" fillId="6" borderId="6" xfId="0" applyNumberFormat="1" applyFont="1" applyFill="1" applyBorder="1" applyAlignment="1">
      <alignment horizontal="center"/>
    </xf>
    <xf numFmtId="164" fontId="25" fillId="6" borderId="7" xfId="0" applyNumberFormat="1" applyFont="1" applyFill="1" applyBorder="1"/>
    <xf numFmtId="167" fontId="25" fillId="6" borderId="8" xfId="0" applyNumberFormat="1" applyFont="1" applyFill="1" applyBorder="1"/>
    <xf numFmtId="167" fontId="25" fillId="6" borderId="9" xfId="0" applyNumberFormat="1" applyFont="1" applyFill="1" applyBorder="1"/>
    <xf numFmtId="167" fontId="25" fillId="6" borderId="10" xfId="0" applyNumberFormat="1" applyFont="1" applyFill="1" applyBorder="1"/>
    <xf numFmtId="174" fontId="30" fillId="0" borderId="11" xfId="0" applyNumberFormat="1" applyFont="1" applyBorder="1"/>
    <xf numFmtId="167" fontId="30" fillId="0" borderId="12" xfId="0" applyNumberFormat="1" applyFont="1" applyBorder="1"/>
    <xf numFmtId="167" fontId="30" fillId="0" borderId="13" xfId="0" applyNumberFormat="1" applyFont="1" applyBorder="1"/>
    <xf numFmtId="167" fontId="30" fillId="0" borderId="14" xfId="0" applyNumberFormat="1" applyFont="1" applyBorder="1"/>
    <xf numFmtId="164" fontId="30" fillId="0" borderId="15" xfId="0" applyNumberFormat="1" applyFont="1" applyBorder="1"/>
    <xf numFmtId="174" fontId="30" fillId="0" borderId="16" xfId="0" applyNumberFormat="1" applyFont="1" applyBorder="1"/>
    <xf numFmtId="174" fontId="30" fillId="0" borderId="17" xfId="0" applyNumberFormat="1" applyFont="1" applyBorder="1"/>
    <xf numFmtId="174" fontId="30" fillId="0" borderId="18" xfId="0" applyNumberFormat="1" applyFont="1" applyBorder="1"/>
    <xf numFmtId="174" fontId="24" fillId="0" borderId="19" xfId="0" applyNumberFormat="1" applyFont="1" applyBorder="1"/>
    <xf numFmtId="167" fontId="24" fillId="0" borderId="20" xfId="0" applyNumberFormat="1" applyFont="1" applyBorder="1"/>
    <xf numFmtId="167" fontId="24" fillId="0" borderId="21" xfId="0" applyNumberFormat="1" applyFont="1" applyBorder="1"/>
    <xf numFmtId="167" fontId="24" fillId="0" borderId="22" xfId="0" applyNumberFormat="1" applyFont="1" applyBorder="1"/>
    <xf numFmtId="164" fontId="24" fillId="0" borderId="23" xfId="0" applyNumberFormat="1" applyFont="1" applyBorder="1"/>
    <xf numFmtId="174" fontId="24" fillId="0" borderId="24" xfId="0" applyNumberFormat="1" applyFont="1" applyBorder="1"/>
    <xf numFmtId="174" fontId="24" fillId="0" borderId="25" xfId="0" applyNumberFormat="1" applyFont="1" applyBorder="1"/>
    <xf numFmtId="180" fontId="24" fillId="0" borderId="26" xfId="0" applyNumberFormat="1" applyFont="1" applyBorder="1"/>
    <xf numFmtId="165" fontId="24" fillId="0" borderId="0" xfId="0" applyNumberFormat="1" applyFont="1"/>
    <xf numFmtId="167" fontId="24" fillId="0" borderId="10" xfId="0" applyNumberFormat="1" applyFont="1" applyBorder="1"/>
    <xf numFmtId="164" fontId="38" fillId="0" borderId="0" xfId="0" applyNumberFormat="1" applyFont="1"/>
    <xf numFmtId="164" fontId="0" fillId="0" borderId="27" xfId="0" applyNumberFormat="1" applyBorder="1"/>
    <xf numFmtId="170" fontId="0" fillId="0" borderId="28" xfId="0" applyNumberFormat="1" applyBorder="1"/>
    <xf numFmtId="184" fontId="38" fillId="0" borderId="0" xfId="0" applyNumberFormat="1" applyFont="1"/>
    <xf numFmtId="180" fontId="0" fillId="0" borderId="0" xfId="0" applyNumberFormat="1"/>
    <xf numFmtId="169" fontId="0" fillId="0" borderId="0" xfId="0" applyNumberFormat="1"/>
    <xf numFmtId="164" fontId="0" fillId="0" borderId="0" xfId="0" applyNumberFormat="1" applyAlignment="1">
      <alignment horizontal="right"/>
    </xf>
    <xf numFmtId="168" fontId="0" fillId="9" borderId="0" xfId="0" applyNumberFormat="1" applyFill="1" applyAlignment="1">
      <alignment horizontal="left"/>
    </xf>
    <xf numFmtId="164" fontId="0" fillId="0" borderId="29" xfId="0" applyNumberFormat="1" applyBorder="1" applyAlignment="1">
      <alignment horizontal="center"/>
    </xf>
    <xf numFmtId="183" fontId="0" fillId="0" borderId="29" xfId="0" applyNumberFormat="1" applyBorder="1" applyAlignment="1">
      <alignment horizontal="center"/>
    </xf>
    <xf numFmtId="164" fontId="39" fillId="0" borderId="0" xfId="0" applyNumberFormat="1" applyFont="1"/>
    <xf numFmtId="164" fontId="40" fillId="0" borderId="0" xfId="0" applyNumberFormat="1" applyFont="1"/>
    <xf numFmtId="169" fontId="0" fillId="0" borderId="0" xfId="0" applyNumberFormat="1"/>
    <xf numFmtId="180" fontId="0" fillId="0" borderId="0" xfId="0" applyNumberFormat="1"/>
    <xf numFmtId="184" fontId="0" fillId="9" borderId="29" xfId="0" applyNumberFormat="1" applyFill="1" applyBorder="1" applyAlignment="1">
      <alignment horizontal="center"/>
    </xf>
    <xf numFmtId="164" fontId="41" fillId="0" borderId="0" xfId="0" applyNumberFormat="1" applyFont="1" applyAlignment="1">
      <alignment horizontal="center"/>
    </xf>
    <xf numFmtId="184" fontId="0" fillId="0" borderId="29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84" fontId="0" fillId="0" borderId="29" xfId="0" applyNumberFormat="1" applyBorder="1" applyAlignment="1">
      <alignment horizontal="center"/>
    </xf>
    <xf numFmtId="164" fontId="0" fillId="0" borderId="0" xfId="0" applyNumberFormat="1" applyAlignment="1">
      <alignment vertical="top" wrapText="1"/>
    </xf>
    <xf numFmtId="164" fontId="38" fillId="0" borderId="0" xfId="0" applyNumberFormat="1" applyFont="1" applyAlignment="1">
      <alignment vertical="top" wrapText="1"/>
    </xf>
    <xf numFmtId="164" fontId="0" fillId="10" borderId="0" xfId="0" applyNumberFormat="1" applyFill="1"/>
    <xf numFmtId="164" fontId="38" fillId="10" borderId="0" xfId="0" applyNumberFormat="1" applyFont="1" applyFill="1"/>
    <xf numFmtId="164" fontId="42" fillId="0" borderId="30" xfId="0" applyNumberFormat="1" applyFont="1" applyBorder="1" applyAlignment="1">
      <alignment vertical="top"/>
    </xf>
    <xf numFmtId="164" fontId="0" fillId="0" borderId="31" xfId="0" applyNumberFormat="1" applyBorder="1"/>
    <xf numFmtId="164" fontId="0" fillId="0" borderId="32" xfId="0" applyNumberFormat="1" applyBorder="1"/>
    <xf numFmtId="164" fontId="42" fillId="0" borderId="15" xfId="0" applyNumberFormat="1" applyFont="1" applyBorder="1" applyAlignment="1">
      <alignment vertical="top"/>
    </xf>
    <xf numFmtId="164" fontId="0" fillId="0" borderId="33" xfId="0" applyNumberFormat="1" applyBorder="1"/>
    <xf numFmtId="164" fontId="0" fillId="0" borderId="15" xfId="0" applyNumberFormat="1" applyBorder="1"/>
    <xf numFmtId="164" fontId="12" fillId="0" borderId="15" xfId="0" applyNumberFormat="1" applyFont="1" applyBorder="1" applyAlignment="1">
      <alignment vertical="top"/>
    </xf>
    <xf numFmtId="164" fontId="11" fillId="0" borderId="15" xfId="0" applyNumberFormat="1" applyFont="1" applyBorder="1" applyAlignment="1">
      <alignment vertical="top" wrapText="1"/>
    </xf>
    <xf numFmtId="164" fontId="12" fillId="0" borderId="15" xfId="0" applyNumberFormat="1" applyFont="1" applyBorder="1" applyAlignment="1">
      <alignment vertical="top" wrapText="1"/>
    </xf>
    <xf numFmtId="164" fontId="43" fillId="0" borderId="34" xfId="0" applyNumberFormat="1" applyFont="1" applyBorder="1" applyAlignment="1">
      <alignment horizontal="left" vertical="center" wrapText="1"/>
    </xf>
    <xf numFmtId="164" fontId="43" fillId="0" borderId="35" xfId="0" applyNumberFormat="1" applyFont="1" applyBorder="1" applyAlignment="1">
      <alignment horizontal="center" wrapText="1"/>
    </xf>
    <xf numFmtId="164" fontId="44" fillId="0" borderId="35" xfId="0" applyNumberFormat="1" applyFont="1" applyBorder="1" applyAlignment="1">
      <alignment horizontal="center" wrapText="1"/>
    </xf>
    <xf numFmtId="164" fontId="43" fillId="0" borderId="36" xfId="0" applyNumberFormat="1" applyFont="1" applyBorder="1" applyAlignment="1">
      <alignment horizontal="center" wrapText="1"/>
    </xf>
    <xf numFmtId="164" fontId="43" fillId="4" borderId="37" xfId="0" applyNumberFormat="1" applyFont="1" applyFill="1" applyBorder="1" applyAlignment="1">
      <alignment horizontal="center" wrapText="1"/>
    </xf>
    <xf numFmtId="164" fontId="43" fillId="4" borderId="33" xfId="0" applyNumberFormat="1" applyFont="1" applyFill="1" applyBorder="1" applyAlignment="1">
      <alignment horizontal="center" wrapText="1"/>
    </xf>
    <xf numFmtId="164" fontId="43" fillId="0" borderId="38" xfId="0" applyNumberFormat="1" applyFont="1" applyBorder="1" applyAlignment="1">
      <alignment horizontal="center" wrapText="1"/>
    </xf>
    <xf numFmtId="164" fontId="43" fillId="0" borderId="39" xfId="0" applyNumberFormat="1" applyFont="1" applyBorder="1" applyAlignment="1">
      <alignment horizontal="center" wrapText="1"/>
    </xf>
    <xf numFmtId="164" fontId="44" fillId="0" borderId="39" xfId="0" applyNumberFormat="1" applyFont="1" applyBorder="1" applyAlignment="1">
      <alignment horizontal="center" wrapText="1"/>
    </xf>
    <xf numFmtId="164" fontId="43" fillId="0" borderId="40" xfId="0" applyNumberFormat="1" applyFont="1" applyBorder="1" applyAlignment="1">
      <alignment horizontal="center" wrapText="1"/>
    </xf>
    <xf numFmtId="164" fontId="43" fillId="4" borderId="41" xfId="0" applyNumberFormat="1" applyFont="1" applyFill="1" applyBorder="1" applyAlignment="1">
      <alignment horizontal="center" wrapText="1"/>
    </xf>
    <xf numFmtId="172" fontId="43" fillId="4" borderId="41" xfId="0" applyNumberFormat="1" applyFont="1" applyFill="1" applyBorder="1" applyAlignment="1">
      <alignment horizontal="center" wrapText="1"/>
    </xf>
    <xf numFmtId="172" fontId="43" fillId="4" borderId="33" xfId="0" applyNumberFormat="1" applyFont="1" applyFill="1" applyBorder="1" applyAlignment="1">
      <alignment horizontal="center" wrapText="1"/>
    </xf>
    <xf numFmtId="164" fontId="45" fillId="11" borderId="42" xfId="0" applyNumberFormat="1" applyFont="1" applyFill="1" applyBorder="1" applyAlignment="1">
      <alignment horizontal="left" vertical="center" wrapText="1"/>
    </xf>
    <xf numFmtId="185" fontId="46" fillId="12" borderId="39" xfId="0" applyNumberFormat="1" applyFont="1" applyFill="1" applyBorder="1" applyAlignment="1">
      <alignment horizontal="right" vertical="center"/>
    </xf>
    <xf numFmtId="185" fontId="47" fillId="12" borderId="39" xfId="0" applyNumberFormat="1" applyFont="1" applyFill="1" applyBorder="1" applyAlignment="1">
      <alignment horizontal="right" vertical="center"/>
    </xf>
    <xf numFmtId="185" fontId="46" fillId="12" borderId="40" xfId="0" applyNumberFormat="1" applyFont="1" applyFill="1" applyBorder="1" applyAlignment="1">
      <alignment horizontal="right" vertical="center"/>
    </xf>
    <xf numFmtId="185" fontId="46" fillId="4" borderId="41" xfId="0" applyNumberFormat="1" applyFont="1" applyFill="1" applyBorder="1" applyAlignment="1">
      <alignment horizontal="right" vertical="center"/>
    </xf>
    <xf numFmtId="185" fontId="46" fillId="4" borderId="33" xfId="0" applyNumberFormat="1" applyFont="1" applyFill="1" applyBorder="1" applyAlignment="1">
      <alignment horizontal="right" vertical="center"/>
    </xf>
    <xf numFmtId="185" fontId="46" fillId="12" borderId="38" xfId="0" applyNumberFormat="1" applyFont="1" applyFill="1" applyBorder="1" applyAlignment="1">
      <alignment horizontal="right" vertical="center"/>
    </xf>
    <xf numFmtId="164" fontId="45" fillId="11" borderId="15" xfId="0" applyNumberFormat="1" applyFont="1" applyFill="1" applyBorder="1" applyAlignment="1">
      <alignment horizontal="left" vertical="center" wrapText="1"/>
    </xf>
    <xf numFmtId="185" fontId="46" fillId="12" borderId="43" xfId="0" applyNumberFormat="1" applyFont="1" applyFill="1" applyBorder="1" applyAlignment="1">
      <alignment horizontal="right" vertical="center"/>
    </xf>
    <xf numFmtId="185" fontId="47" fillId="12" borderId="43" xfId="0" applyNumberFormat="1" applyFont="1" applyFill="1" applyBorder="1" applyAlignment="1">
      <alignment horizontal="right" vertical="center"/>
    </xf>
    <xf numFmtId="185" fontId="46" fillId="12" borderId="44" xfId="0" applyNumberFormat="1" applyFont="1" applyFill="1" applyBorder="1" applyAlignment="1">
      <alignment horizontal="right" vertical="center"/>
    </xf>
    <xf numFmtId="185" fontId="46" fillId="4" borderId="45" xfId="0" applyNumberFormat="1" applyFont="1" applyFill="1" applyBorder="1" applyAlignment="1">
      <alignment horizontal="right" vertical="center"/>
    </xf>
    <xf numFmtId="185" fontId="46" fillId="12" borderId="46" xfId="0" applyNumberFormat="1" applyFont="1" applyFill="1" applyBorder="1" applyAlignment="1">
      <alignment horizontal="right" vertical="center"/>
    </xf>
    <xf numFmtId="164" fontId="45" fillId="11" borderId="27" xfId="0" applyNumberFormat="1" applyFont="1" applyFill="1" applyBorder="1" applyAlignment="1">
      <alignment horizontal="left" vertical="center" wrapText="1"/>
    </xf>
    <xf numFmtId="185" fontId="46" fillId="12" borderId="47" xfId="0" applyNumberFormat="1" applyFont="1" applyFill="1" applyBorder="1" applyAlignment="1">
      <alignment horizontal="right" vertical="center"/>
    </xf>
    <xf numFmtId="185" fontId="47" fillId="12" borderId="47" xfId="0" applyNumberFormat="1" applyFont="1" applyFill="1" applyBorder="1" applyAlignment="1">
      <alignment horizontal="right" vertical="center"/>
    </xf>
    <xf numFmtId="185" fontId="46" fillId="12" borderId="48" xfId="0" applyNumberFormat="1" applyFont="1" applyFill="1" applyBorder="1" applyAlignment="1">
      <alignment horizontal="right" vertical="center"/>
    </xf>
    <xf numFmtId="185" fontId="46" fillId="4" borderId="10" xfId="0" applyNumberFormat="1" applyFont="1" applyFill="1" applyBorder="1" applyAlignment="1">
      <alignment horizontal="right" vertical="center"/>
    </xf>
    <xf numFmtId="185" fontId="46" fillId="4" borderId="28" xfId="0" applyNumberFormat="1" applyFont="1" applyFill="1" applyBorder="1" applyAlignment="1">
      <alignment horizontal="right" vertical="center"/>
    </xf>
    <xf numFmtId="185" fontId="46" fillId="12" borderId="28" xfId="0" applyNumberFormat="1" applyFont="1" applyFill="1" applyBorder="1" applyAlignment="1">
      <alignment horizontal="right" vertical="center"/>
    </xf>
    <xf numFmtId="164" fontId="43" fillId="0" borderId="49" xfId="0" applyNumberFormat="1" applyFont="1" applyBorder="1" applyAlignment="1">
      <alignment horizontal="center" wrapText="1"/>
    </xf>
    <xf numFmtId="164" fontId="43" fillId="0" borderId="0" xfId="0" applyNumberFormat="1" applyFont="1" applyAlignment="1">
      <alignment horizontal="center" wrapText="1"/>
    </xf>
    <xf numFmtId="164" fontId="43" fillId="0" borderId="50" xfId="0" applyNumberFormat="1" applyFont="1" applyBorder="1" applyAlignment="1">
      <alignment horizontal="center" wrapText="1"/>
    </xf>
    <xf numFmtId="185" fontId="46" fillId="12" borderId="49" xfId="0" applyNumberFormat="1" applyFont="1" applyFill="1" applyBorder="1" applyAlignment="1">
      <alignment horizontal="right" vertical="center"/>
    </xf>
    <xf numFmtId="185" fontId="46" fillId="12" borderId="0" xfId="0" applyNumberFormat="1" applyFont="1" applyFill="1" applyAlignment="1">
      <alignment horizontal="right" vertical="center"/>
    </xf>
    <xf numFmtId="185" fontId="46" fillId="12" borderId="51" xfId="0" applyNumberFormat="1" applyFont="1" applyFill="1" applyBorder="1" applyAlignment="1">
      <alignment horizontal="right" vertical="center"/>
    </xf>
    <xf numFmtId="164" fontId="0" fillId="0" borderId="23" xfId="0" applyNumberFormat="1" applyBorder="1"/>
    <xf numFmtId="164" fontId="0" fillId="0" borderId="52" xfId="0" applyNumberFormat="1" applyBorder="1"/>
    <xf numFmtId="164" fontId="38" fillId="0" borderId="52" xfId="0" applyNumberFormat="1" applyFont="1" applyBorder="1"/>
    <xf numFmtId="164" fontId="0" fillId="0" borderId="53" xfId="0" applyNumberFormat="1" applyBorder="1"/>
    <xf numFmtId="183" fontId="48" fillId="13" borderId="54" xfId="0" applyNumberFormat="1" applyFont="1" applyFill="1" applyBorder="1" applyAlignment="1">
      <alignment horizontal="center" vertical="center"/>
    </xf>
    <xf numFmtId="164" fontId="48" fillId="13" borderId="54" xfId="0" applyNumberFormat="1" applyFont="1" applyFill="1" applyBorder="1" applyAlignment="1">
      <alignment horizontal="center" vertical="center"/>
    </xf>
    <xf numFmtId="164" fontId="49" fillId="13" borderId="54" xfId="0" applyNumberFormat="1" applyFont="1" applyFill="1" applyBorder="1" applyAlignment="1">
      <alignment horizontal="center" vertical="center"/>
    </xf>
    <xf numFmtId="164" fontId="48" fillId="0" borderId="54" xfId="0" applyNumberFormat="1" applyFont="1" applyBorder="1" applyAlignment="1">
      <alignment vertical="center"/>
    </xf>
    <xf numFmtId="176" fontId="50" fillId="0" borderId="54" xfId="0" applyNumberFormat="1" applyFont="1" applyBorder="1" applyAlignment="1">
      <alignment vertical="center"/>
    </xf>
    <xf numFmtId="176" fontId="51" fillId="0" borderId="54" xfId="0" applyNumberFormat="1" applyFont="1" applyBorder="1" applyAlignment="1">
      <alignment vertical="center"/>
    </xf>
    <xf numFmtId="183" fontId="48" fillId="0" borderId="54" xfId="0" applyNumberFormat="1" applyFont="1" applyBorder="1" applyAlignment="1">
      <alignment vertical="center"/>
    </xf>
    <xf numFmtId="176" fontId="50" fillId="0" borderId="54" xfId="0" applyNumberFormat="1" applyFont="1" applyBorder="1" applyAlignment="1">
      <alignment vertical="center"/>
    </xf>
    <xf numFmtId="176" fontId="51" fillId="0" borderId="54" xfId="0" applyNumberFormat="1" applyFont="1" applyBorder="1" applyAlignment="1">
      <alignment vertical="center"/>
    </xf>
    <xf numFmtId="183" fontId="48" fillId="13" borderId="54" xfId="0" applyNumberFormat="1" applyFont="1" applyFill="1" applyBorder="1" applyAlignment="1">
      <alignment vertical="center"/>
    </xf>
    <xf numFmtId="176" fontId="48" fillId="13" borderId="54" xfId="0" applyNumberFormat="1" applyFont="1" applyFill="1" applyBorder="1" applyAlignment="1">
      <alignment vertical="center"/>
    </xf>
    <xf numFmtId="176" fontId="49" fillId="13" borderId="54" xfId="0" applyNumberFormat="1" applyFont="1" applyFill="1" applyBorder="1" applyAlignment="1">
      <alignment vertical="center"/>
    </xf>
    <xf numFmtId="164" fontId="43" fillId="0" borderId="36" xfId="0" applyNumberFormat="1" applyFont="1" applyBorder="1" applyAlignment="1">
      <alignment horizontal="left" vertical="center" wrapText="1"/>
    </xf>
    <xf numFmtId="169" fontId="45" fillId="11" borderId="55" xfId="0" applyNumberFormat="1" applyFont="1" applyFill="1" applyBorder="1" applyAlignment="1">
      <alignment horizontal="left" vertical="center" wrapText="1"/>
    </xf>
    <xf numFmtId="169" fontId="46" fillId="12" borderId="39" xfId="0" applyNumberFormat="1" applyFont="1" applyFill="1" applyBorder="1" applyAlignment="1">
      <alignment horizontal="right" vertical="center"/>
    </xf>
    <xf numFmtId="169" fontId="47" fillId="12" borderId="39" xfId="0" applyNumberFormat="1" applyFont="1" applyFill="1" applyBorder="1" applyAlignment="1">
      <alignment horizontal="right" vertical="center"/>
    </xf>
    <xf numFmtId="169" fontId="46" fillId="12" borderId="40" xfId="0" applyNumberFormat="1" applyFont="1" applyFill="1" applyBorder="1" applyAlignment="1">
      <alignment horizontal="right" vertical="center"/>
    </xf>
    <xf numFmtId="169" fontId="46" fillId="12" borderId="50" xfId="0" applyNumberFormat="1" applyFont="1" applyFill="1" applyBorder="1" applyAlignment="1">
      <alignment horizontal="right" vertical="center"/>
    </xf>
    <xf numFmtId="169" fontId="46" fillId="12" borderId="0" xfId="0" applyNumberFormat="1" applyFont="1" applyFill="1" applyAlignment="1">
      <alignment horizontal="right" vertical="center"/>
    </xf>
    <xf numFmtId="169" fontId="46" fillId="4" borderId="41" xfId="0" applyNumberFormat="1" applyFont="1" applyFill="1" applyBorder="1" applyAlignment="1">
      <alignment horizontal="right" vertical="center"/>
    </xf>
    <xf numFmtId="169" fontId="43" fillId="0" borderId="43" xfId="0" applyNumberFormat="1" applyFont="1" applyBorder="1" applyAlignment="1">
      <alignment horizontal="left" vertical="center" wrapText="1"/>
    </xf>
    <xf numFmtId="169" fontId="43" fillId="0" borderId="39" xfId="0" applyNumberFormat="1" applyFont="1" applyBorder="1" applyAlignment="1">
      <alignment horizontal="center" wrapText="1"/>
    </xf>
    <xf numFmtId="169" fontId="44" fillId="0" borderId="39" xfId="0" applyNumberFormat="1" applyFont="1" applyBorder="1" applyAlignment="1">
      <alignment horizontal="center" wrapText="1"/>
    </xf>
    <xf numFmtId="169" fontId="46" fillId="4" borderId="10" xfId="0" applyNumberFormat="1" applyFont="1" applyFill="1" applyBorder="1" applyAlignment="1">
      <alignment horizontal="right" vertical="center"/>
    </xf>
    <xf numFmtId="164" fontId="45" fillId="8" borderId="55" xfId="0" applyNumberFormat="1" applyFont="1" applyFill="1" applyBorder="1" applyAlignment="1">
      <alignment horizontal="left" vertical="center" wrapText="1"/>
    </xf>
    <xf numFmtId="164" fontId="0" fillId="8" borderId="0" xfId="0" applyNumberFormat="1" applyFill="1"/>
    <xf numFmtId="164" fontId="38" fillId="8" borderId="0" xfId="0" applyNumberFormat="1" applyFont="1" applyFill="1"/>
    <xf numFmtId="164" fontId="8" fillId="0" borderId="0" xfId="0" applyNumberFormat="1" applyFont="1" applyAlignment="1">
      <alignment horizontal="center" wrapText="1"/>
    </xf>
    <xf numFmtId="169" fontId="8" fillId="0" borderId="0" xfId="0" applyNumberFormat="1" applyFont="1" applyAlignment="1">
      <alignment horizontal="center" wrapText="1"/>
    </xf>
    <xf numFmtId="167" fontId="0" fillId="0" borderId="0" xfId="0" applyNumberFormat="1"/>
    <xf numFmtId="164" fontId="0" fillId="0" borderId="0" xfId="0" applyNumberFormat="1" applyAlignment="1">
      <alignment vertical="center"/>
    </xf>
    <xf numFmtId="164" fontId="58" fillId="0" borderId="0" xfId="0" applyNumberFormat="1" applyFont="1" applyAlignment="1">
      <alignment vertical="center"/>
    </xf>
    <xf numFmtId="164" fontId="59" fillId="0" borderId="0" xfId="0" applyNumberFormat="1" applyFont="1" applyAlignment="1">
      <alignment vertical="center"/>
    </xf>
    <xf numFmtId="164" fontId="58" fillId="0" borderId="0" xfId="0" applyNumberFormat="1" applyFont="1" applyAlignment="1">
      <alignment horizontal="justify" vertical="center"/>
    </xf>
    <xf numFmtId="164" fontId="7" fillId="0" borderId="0" xfId="0" applyNumberFormat="1" applyFont="1" applyAlignment="1">
      <alignment horizontal="right" vertical="center"/>
    </xf>
    <xf numFmtId="168" fontId="0" fillId="0" borderId="0" xfId="0" applyNumberFormat="1" applyAlignment="1">
      <alignment vertical="center"/>
    </xf>
    <xf numFmtId="172" fontId="0" fillId="4" borderId="0" xfId="0" applyNumberFormat="1" applyFill="1" applyAlignment="1">
      <alignment vertical="center"/>
    </xf>
    <xf numFmtId="164" fontId="25" fillId="6" borderId="0" xfId="0" applyNumberFormat="1" applyFont="1" applyFill="1" applyAlignment="1">
      <alignment vertical="center"/>
    </xf>
    <xf numFmtId="164" fontId="25" fillId="6" borderId="0" xfId="0" applyNumberFormat="1" applyFont="1" applyFill="1" applyAlignment="1">
      <alignment horizontal="center" vertical="center"/>
    </xf>
    <xf numFmtId="172" fontId="25" fillId="6" borderId="0" xfId="0" applyNumberFormat="1" applyFont="1" applyFill="1" applyAlignment="1">
      <alignment horizontal="center" vertical="center"/>
    </xf>
    <xf numFmtId="164" fontId="60" fillId="0" borderId="56" xfId="0" applyNumberFormat="1" applyFont="1" applyBorder="1" applyAlignment="1">
      <alignment vertical="center"/>
    </xf>
    <xf numFmtId="164" fontId="60" fillId="0" borderId="49" xfId="0" applyNumberFormat="1" applyFont="1" applyBorder="1" applyAlignment="1">
      <alignment vertical="center"/>
    </xf>
    <xf numFmtId="164" fontId="60" fillId="0" borderId="54" xfId="0" applyNumberFormat="1" applyFont="1" applyBorder="1" applyAlignment="1">
      <alignment horizontal="center" vertical="center" wrapText="1"/>
    </xf>
    <xf numFmtId="164" fontId="60" fillId="0" borderId="54" xfId="0" applyNumberFormat="1" applyFont="1" applyBorder="1" applyAlignment="1">
      <alignment horizontal="center" vertical="center"/>
    </xf>
    <xf numFmtId="164" fontId="60" fillId="0" borderId="57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vertical="center"/>
    </xf>
    <xf numFmtId="175" fontId="24" fillId="0" borderId="0" xfId="0" applyNumberFormat="1" applyFont="1" applyAlignment="1">
      <alignment horizontal="right" vertical="center"/>
    </xf>
    <xf numFmtId="186" fontId="61" fillId="0" borderId="54" xfId="0" applyNumberFormat="1" applyFont="1" applyBorder="1" applyAlignment="1">
      <alignment vertical="center"/>
    </xf>
    <xf numFmtId="164" fontId="60" fillId="0" borderId="54" xfId="0" applyNumberFormat="1" applyFont="1" applyBorder="1" applyAlignment="1">
      <alignment vertical="center"/>
    </xf>
    <xf numFmtId="186" fontId="60" fillId="0" borderId="57" xfId="0" applyNumberFormat="1" applyFont="1" applyBorder="1" applyAlignment="1">
      <alignment vertical="center"/>
    </xf>
    <xf numFmtId="164" fontId="60" fillId="8" borderId="0" xfId="0" applyNumberFormat="1" applyFont="1" applyFill="1" applyAlignment="1">
      <alignment vertical="center"/>
    </xf>
    <xf numFmtId="175" fontId="60" fillId="8" borderId="0" xfId="0" applyNumberFormat="1" applyFont="1" applyFill="1" applyAlignment="1">
      <alignment horizontal="right" vertical="center"/>
    </xf>
    <xf numFmtId="187" fontId="60" fillId="8" borderId="0" xfId="0" applyNumberFormat="1" applyFont="1" applyFill="1" applyAlignment="1">
      <alignment horizontal="right" vertical="center"/>
    </xf>
    <xf numFmtId="164" fontId="0" fillId="8" borderId="0" xfId="0" applyNumberFormat="1" applyFill="1" applyAlignment="1">
      <alignment vertical="center"/>
    </xf>
    <xf numFmtId="164" fontId="60" fillId="8" borderId="56" xfId="0" applyNumberFormat="1" applyFont="1" applyFill="1" applyBorder="1" applyAlignment="1">
      <alignment vertical="center"/>
    </xf>
    <xf numFmtId="164" fontId="60" fillId="8" borderId="49" xfId="0" applyNumberFormat="1" applyFont="1" applyFill="1" applyBorder="1" applyAlignment="1">
      <alignment vertical="center"/>
    </xf>
    <xf numFmtId="186" fontId="61" fillId="8" borderId="54" xfId="0" applyNumberFormat="1" applyFont="1" applyFill="1" applyBorder="1" applyAlignment="1">
      <alignment vertical="center"/>
    </xf>
    <xf numFmtId="164" fontId="60" fillId="8" borderId="54" xfId="0" applyNumberFormat="1" applyFont="1" applyFill="1" applyBorder="1" applyAlignment="1">
      <alignment vertical="center"/>
    </xf>
    <xf numFmtId="186" fontId="60" fillId="8" borderId="57" xfId="0" applyNumberFormat="1" applyFont="1" applyFill="1" applyBorder="1" applyAlignment="1">
      <alignment vertical="center"/>
    </xf>
    <xf numFmtId="177" fontId="60" fillId="8" borderId="0" xfId="0" applyNumberFormat="1" applyFont="1" applyFill="1" applyAlignment="1">
      <alignment horizontal="left" vertical="center"/>
    </xf>
    <xf numFmtId="175" fontId="60" fillId="8" borderId="0" xfId="0" applyNumberFormat="1" applyFont="1" applyFill="1" applyAlignment="1">
      <alignment horizontal="right" vertical="center"/>
    </xf>
    <xf numFmtId="186" fontId="60" fillId="8" borderId="54" xfId="0" applyNumberFormat="1" applyFont="1" applyFill="1" applyBorder="1" applyAlignment="1">
      <alignment vertical="center"/>
    </xf>
    <xf numFmtId="187" fontId="60" fillId="8" borderId="54" xfId="0" applyNumberFormat="1" applyFont="1" applyFill="1" applyBorder="1" applyAlignment="1">
      <alignment vertical="center"/>
    </xf>
    <xf numFmtId="180" fontId="60" fillId="8" borderId="57" xfId="0" applyNumberFormat="1" applyFont="1" applyFill="1" applyBorder="1" applyAlignment="1">
      <alignment vertical="center"/>
    </xf>
    <xf numFmtId="177" fontId="25" fillId="6" borderId="0" xfId="0" applyNumberFormat="1" applyFont="1" applyFill="1" applyAlignment="1">
      <alignment vertical="center"/>
    </xf>
    <xf numFmtId="175" fontId="25" fillId="6" borderId="0" xfId="0" applyNumberFormat="1" applyFont="1" applyFill="1" applyAlignment="1">
      <alignment horizontal="right" vertical="center"/>
    </xf>
    <xf numFmtId="186" fontId="60" fillId="0" borderId="54" xfId="0" applyNumberFormat="1" applyFont="1" applyBorder="1" applyAlignment="1">
      <alignment vertical="center"/>
    </xf>
    <xf numFmtId="180" fontId="60" fillId="0" borderId="57" xfId="0" applyNumberFormat="1" applyFont="1" applyBorder="1" applyAlignment="1">
      <alignment vertical="center"/>
    </xf>
    <xf numFmtId="164" fontId="60" fillId="0" borderId="0" xfId="0" applyNumberFormat="1" applyFont="1" applyAlignment="1">
      <alignment horizontal="left" vertical="center" wrapText="1"/>
    </xf>
    <xf numFmtId="187" fontId="61" fillId="0" borderId="57" xfId="0" applyNumberFormat="1" applyFont="1" applyBorder="1" applyAlignment="1">
      <alignment vertical="center"/>
    </xf>
    <xf numFmtId="164" fontId="60" fillId="2" borderId="0" xfId="0" applyNumberFormat="1" applyFont="1" applyFill="1" applyAlignment="1">
      <alignment horizontal="center" vertical="center"/>
    </xf>
    <xf numFmtId="164" fontId="59" fillId="2" borderId="0" xfId="0" applyNumberFormat="1" applyFont="1" applyFill="1" applyAlignment="1">
      <alignment horizontal="center" vertical="center"/>
    </xf>
    <xf numFmtId="164" fontId="62" fillId="14" borderId="58" xfId="0" applyNumberFormat="1" applyFont="1" applyFill="1" applyBorder="1" applyAlignment="1">
      <alignment horizontal="center" vertical="center"/>
    </xf>
    <xf numFmtId="164" fontId="62" fillId="14" borderId="59" xfId="0" applyNumberFormat="1" applyFont="1" applyFill="1" applyBorder="1" applyAlignment="1">
      <alignment horizontal="center" vertical="center" wrapText="1"/>
    </xf>
    <xf numFmtId="164" fontId="62" fillId="14" borderId="60" xfId="0" applyNumberFormat="1" applyFont="1" applyFill="1" applyBorder="1" applyAlignment="1">
      <alignment horizontal="center" vertical="center"/>
    </xf>
    <xf numFmtId="184" fontId="63" fillId="0" borderId="61" xfId="0" applyNumberFormat="1" applyFont="1" applyBorder="1" applyAlignment="1">
      <alignment horizontal="left" vertical="center"/>
    </xf>
    <xf numFmtId="173" fontId="63" fillId="0" borderId="62" xfId="0" applyNumberFormat="1" applyFont="1" applyBorder="1" applyAlignment="1">
      <alignment vertical="center"/>
    </xf>
    <xf numFmtId="180" fontId="62" fillId="0" borderId="63" xfId="0" applyNumberFormat="1" applyFont="1" applyBorder="1" applyAlignment="1">
      <alignment horizontal="left" vertical="center"/>
    </xf>
    <xf numFmtId="184" fontId="63" fillId="0" borderId="64" xfId="0" applyNumberFormat="1" applyFont="1" applyBorder="1" applyAlignment="1">
      <alignment horizontal="left" vertical="center"/>
    </xf>
    <xf numFmtId="180" fontId="62" fillId="0" borderId="65" xfId="0" applyNumberFormat="1" applyFont="1" applyBorder="1" applyAlignment="1">
      <alignment horizontal="left" vertical="center"/>
    </xf>
    <xf numFmtId="184" fontId="0" fillId="0" borderId="0" xfId="0" applyNumberFormat="1" applyAlignment="1">
      <alignment vertical="center"/>
    </xf>
    <xf numFmtId="184" fontId="63" fillId="0" borderId="66" xfId="0" applyNumberFormat="1" applyFont="1" applyBorder="1" applyAlignment="1">
      <alignment horizontal="left" vertical="center"/>
    </xf>
    <xf numFmtId="180" fontId="62" fillId="0" borderId="67" xfId="0" applyNumberFormat="1" applyFont="1" applyBorder="1" applyAlignment="1">
      <alignment horizontal="left" vertical="center"/>
    </xf>
    <xf numFmtId="164" fontId="62" fillId="14" borderId="58" xfId="0" applyNumberFormat="1" applyFont="1" applyFill="1" applyBorder="1" applyAlignment="1">
      <alignment horizontal="center" vertical="center" wrapText="1"/>
    </xf>
    <xf numFmtId="178" fontId="63" fillId="0" borderId="61" xfId="0" applyNumberFormat="1" applyFont="1" applyBorder="1" applyAlignment="1">
      <alignment horizontal="center" vertical="center"/>
    </xf>
    <xf numFmtId="187" fontId="63" fillId="0" borderId="62" xfId="0" applyNumberFormat="1" applyFont="1" applyBorder="1" applyAlignment="1">
      <alignment vertical="center"/>
    </xf>
    <xf numFmtId="164" fontId="41" fillId="0" borderId="0" xfId="0" applyNumberFormat="1" applyFont="1" applyAlignment="1">
      <alignment horizontal="center" vertical="center"/>
    </xf>
    <xf numFmtId="172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  <xf numFmtId="164" fontId="60" fillId="0" borderId="68" xfId="0" applyNumberFormat="1" applyFont="1" applyBorder="1" applyAlignment="1">
      <alignment vertical="center"/>
    </xf>
    <xf numFmtId="164" fontId="60" fillId="0" borderId="51" xfId="0" applyNumberFormat="1" applyFont="1" applyBorder="1" applyAlignment="1">
      <alignment vertical="center"/>
    </xf>
    <xf numFmtId="164" fontId="60" fillId="0" borderId="57" xfId="0" applyNumberFormat="1" applyFont="1" applyBorder="1" applyAlignment="1">
      <alignment vertical="center"/>
    </xf>
    <xf numFmtId="164" fontId="60" fillId="0" borderId="0" xfId="0" applyNumberFormat="1" applyFont="1" applyAlignment="1">
      <alignment vertical="center"/>
    </xf>
    <xf numFmtId="164" fontId="60" fillId="0" borderId="69" xfId="0" applyNumberFormat="1" applyFont="1" applyBorder="1" applyAlignment="1">
      <alignment vertical="center"/>
    </xf>
    <xf numFmtId="186" fontId="60" fillId="0" borderId="54" xfId="0" applyNumberFormat="1" applyFont="1" applyBorder="1" applyAlignment="1">
      <alignment vertical="center"/>
    </xf>
    <xf numFmtId="186" fontId="60" fillId="0" borderId="57" xfId="0" applyNumberFormat="1" applyFont="1" applyBorder="1" applyAlignment="1">
      <alignment vertical="center"/>
    </xf>
    <xf numFmtId="187" fontId="60" fillId="0" borderId="54" xfId="0" applyNumberFormat="1" applyFont="1" applyBorder="1" applyAlignment="1">
      <alignment vertical="center"/>
    </xf>
    <xf numFmtId="187" fontId="60" fillId="0" borderId="57" xfId="0" applyNumberFormat="1" applyFont="1" applyBorder="1" applyAlignment="1">
      <alignment vertical="center"/>
    </xf>
    <xf numFmtId="164" fontId="60" fillId="0" borderId="29" xfId="0" applyNumberFormat="1" applyFont="1" applyBorder="1" applyAlignment="1">
      <alignment vertical="center"/>
    </xf>
    <xf numFmtId="164" fontId="60" fillId="0" borderId="70" xfId="0" applyNumberFormat="1" applyFont="1" applyBorder="1" applyAlignment="1">
      <alignment vertical="center"/>
    </xf>
    <xf numFmtId="167" fontId="0" fillId="0" borderId="0" xfId="0" applyNumberFormat="1"/>
    <xf numFmtId="172" fontId="59" fillId="4" borderId="0" xfId="0" applyNumberFormat="1" applyFont="1" applyFill="1" applyAlignment="1">
      <alignment horizontal="right" vertical="center"/>
    </xf>
    <xf numFmtId="164" fontId="70" fillId="6" borderId="0" xfId="0" applyNumberFormat="1" applyFont="1" applyFill="1" applyAlignment="1">
      <alignment vertical="center"/>
    </xf>
    <xf numFmtId="164" fontId="70" fillId="6" borderId="0" xfId="0" applyNumberFormat="1" applyFont="1" applyFill="1" applyAlignment="1">
      <alignment horizontal="center" vertical="center"/>
    </xf>
    <xf numFmtId="164" fontId="60" fillId="15" borderId="0" xfId="0" applyNumberFormat="1" applyFont="1" applyFill="1" applyAlignment="1">
      <alignment vertical="center"/>
    </xf>
    <xf numFmtId="175" fontId="60" fillId="0" borderId="0" xfId="0" applyNumberFormat="1" applyFont="1" applyAlignment="1">
      <alignment vertical="center"/>
    </xf>
    <xf numFmtId="177" fontId="70" fillId="6" borderId="0" xfId="0" applyNumberFormat="1" applyFont="1" applyFill="1" applyAlignment="1">
      <alignment vertical="center"/>
    </xf>
    <xf numFmtId="175" fontId="70" fillId="6" borderId="0" xfId="0" applyNumberFormat="1" applyFont="1" applyFill="1" applyAlignment="1">
      <alignment vertical="center"/>
    </xf>
    <xf numFmtId="180" fontId="59" fillId="0" borderId="0" xfId="0" applyNumberFormat="1" applyFont="1" applyAlignment="1">
      <alignment vertical="center"/>
    </xf>
    <xf numFmtId="175" fontId="59" fillId="0" borderId="0" xfId="0" applyNumberFormat="1" applyFont="1" applyAlignment="1">
      <alignment vertical="center"/>
    </xf>
    <xf numFmtId="164" fontId="0" fillId="16" borderId="27" xfId="0" applyNumberFormat="1" applyFill="1" applyBorder="1" applyAlignment="1">
      <alignment vertical="center"/>
    </xf>
    <xf numFmtId="184" fontId="0" fillId="16" borderId="28" xfId="0" applyNumberFormat="1" applyFill="1" applyBorder="1" applyAlignment="1">
      <alignment vertical="center"/>
    </xf>
    <xf numFmtId="164" fontId="71" fillId="0" borderId="0" xfId="0" applyNumberFormat="1" applyFont="1" applyAlignment="1">
      <alignment vertical="center"/>
    </xf>
    <xf numFmtId="177" fontId="60" fillId="0" borderId="0" xfId="0" applyNumberFormat="1" applyFont="1" applyAlignment="1">
      <alignment vertical="center"/>
    </xf>
    <xf numFmtId="177" fontId="72" fillId="0" borderId="0" xfId="0" applyNumberFormat="1" applyFont="1" applyAlignment="1">
      <alignment vertical="center"/>
    </xf>
    <xf numFmtId="177" fontId="72" fillId="5" borderId="0" xfId="0" applyNumberFormat="1" applyFont="1" applyFill="1" applyAlignment="1">
      <alignment vertical="center"/>
    </xf>
    <xf numFmtId="178" fontId="72" fillId="0" borderId="0" xfId="0" applyNumberFormat="1" applyFont="1" applyAlignment="1">
      <alignment vertical="center"/>
    </xf>
    <xf numFmtId="178" fontId="72" fillId="5" borderId="0" xfId="0" applyNumberFormat="1" applyFont="1" applyFill="1" applyAlignment="1">
      <alignment vertical="center"/>
    </xf>
    <xf numFmtId="174" fontId="59" fillId="0" borderId="0" xfId="0" applyNumberFormat="1" applyFont="1" applyAlignment="1">
      <alignment vertical="center"/>
    </xf>
    <xf numFmtId="174" fontId="59" fillId="5" borderId="0" xfId="0" applyNumberFormat="1" applyFont="1" applyFill="1" applyAlignment="1">
      <alignment vertical="center"/>
    </xf>
    <xf numFmtId="164" fontId="75" fillId="0" borderId="0" xfId="0" applyNumberFormat="1" applyFont="1"/>
    <xf numFmtId="164" fontId="76" fillId="0" borderId="0" xfId="0" applyNumberFormat="1" applyFont="1"/>
    <xf numFmtId="164" fontId="77" fillId="0" borderId="10" xfId="0" applyNumberFormat="1" applyFont="1" applyBorder="1" applyAlignment="1">
      <alignment horizontal="center"/>
    </xf>
    <xf numFmtId="164" fontId="78" fillId="0" borderId="0" xfId="0" applyNumberFormat="1" applyFont="1"/>
    <xf numFmtId="164" fontId="77" fillId="0" borderId="7" xfId="0" applyNumberFormat="1" applyFont="1" applyBorder="1"/>
    <xf numFmtId="164" fontId="77" fillId="0" borderId="8" xfId="0" applyNumberFormat="1" applyFont="1" applyBorder="1"/>
    <xf numFmtId="164" fontId="77" fillId="0" borderId="9" xfId="0" applyNumberFormat="1" applyFont="1" applyBorder="1"/>
    <xf numFmtId="164" fontId="77" fillId="0" borderId="10" xfId="0" applyNumberFormat="1" applyFont="1" applyBorder="1"/>
    <xf numFmtId="164" fontId="77" fillId="0" borderId="71" xfId="0" applyNumberFormat="1" applyFont="1" applyBorder="1"/>
    <xf numFmtId="164" fontId="79" fillId="8" borderId="0" xfId="0" applyNumberFormat="1" applyFont="1" applyFill="1"/>
    <xf numFmtId="169" fontId="77" fillId="0" borderId="19" xfId="0" applyNumberFormat="1" applyFont="1" applyBorder="1"/>
    <xf numFmtId="169" fontId="77" fillId="0" borderId="20" xfId="0" applyNumberFormat="1" applyFont="1" applyBorder="1"/>
    <xf numFmtId="169" fontId="77" fillId="0" borderId="21" xfId="0" applyNumberFormat="1" applyFont="1" applyBorder="1"/>
    <xf numFmtId="169" fontId="77" fillId="17" borderId="22" xfId="0" applyNumberFormat="1" applyFont="1" applyFill="1" applyBorder="1"/>
    <xf numFmtId="169" fontId="77" fillId="0" borderId="72" xfId="0" applyNumberFormat="1" applyFont="1" applyBorder="1"/>
    <xf numFmtId="169" fontId="77" fillId="0" borderId="73" xfId="0" applyNumberFormat="1" applyFont="1" applyBorder="1"/>
    <xf numFmtId="169" fontId="77" fillId="17" borderId="74" xfId="0" applyNumberFormat="1" applyFont="1" applyFill="1" applyBorder="1"/>
    <xf numFmtId="169" fontId="77" fillId="0" borderId="49" xfId="0" applyNumberFormat="1" applyFont="1" applyBorder="1"/>
    <xf numFmtId="169" fontId="77" fillId="17" borderId="26" xfId="0" applyNumberFormat="1" applyFont="1" applyFill="1" applyBorder="1"/>
    <xf numFmtId="169" fontId="77" fillId="0" borderId="30" xfId="0" applyNumberFormat="1" applyFont="1" applyBorder="1"/>
    <xf numFmtId="169" fontId="77" fillId="0" borderId="31" xfId="0" applyNumberFormat="1" applyFont="1" applyBorder="1"/>
    <xf numFmtId="169" fontId="77" fillId="17" borderId="6" xfId="0" applyNumberFormat="1" applyFont="1" applyFill="1" applyBorder="1"/>
    <xf numFmtId="164" fontId="77" fillId="0" borderId="15" xfId="0" applyNumberFormat="1" applyFont="1" applyBorder="1"/>
    <xf numFmtId="164" fontId="77" fillId="0" borderId="0" xfId="0" applyNumberFormat="1" applyFont="1"/>
    <xf numFmtId="164" fontId="77" fillId="0" borderId="45" xfId="0" applyNumberFormat="1" applyFont="1" applyBorder="1"/>
    <xf numFmtId="164" fontId="79" fillId="0" borderId="0" xfId="0" applyNumberFormat="1" applyFont="1"/>
    <xf numFmtId="164" fontId="77" fillId="0" borderId="27" xfId="0" applyNumberFormat="1" applyFont="1" applyBorder="1"/>
    <xf numFmtId="164" fontId="77" fillId="0" borderId="75" xfId="0" applyNumberFormat="1" applyFont="1" applyBorder="1"/>
    <xf numFmtId="169" fontId="77" fillId="0" borderId="10" xfId="0" applyNumberFormat="1" applyFont="1" applyBorder="1"/>
    <xf numFmtId="164" fontId="80" fillId="0" borderId="0" xfId="0" applyNumberFormat="1" applyFont="1" applyAlignment="1">
      <alignment horizontal="center"/>
    </xf>
    <xf numFmtId="164" fontId="81" fillId="0" borderId="76" xfId="0" applyNumberFormat="1" applyFont="1" applyBorder="1" applyAlignment="1">
      <alignment horizontal="center" vertical="center"/>
    </xf>
    <xf numFmtId="164" fontId="81" fillId="0" borderId="77" xfId="0" applyNumberFormat="1" applyFont="1" applyBorder="1" applyAlignment="1">
      <alignment horizontal="center" vertical="center" wrapText="1"/>
    </xf>
    <xf numFmtId="164" fontId="81" fillId="0" borderId="78" xfId="0" applyNumberFormat="1" applyFont="1" applyBorder="1"/>
    <xf numFmtId="169" fontId="81" fillId="0" borderId="79" xfId="0" applyNumberFormat="1" applyFont="1" applyBorder="1"/>
    <xf numFmtId="164" fontId="81" fillId="0" borderId="80" xfId="0" applyNumberFormat="1" applyFont="1" applyBorder="1"/>
    <xf numFmtId="169" fontId="81" fillId="0" borderId="81" xfId="0" applyNumberFormat="1" applyFont="1" applyBorder="1"/>
    <xf numFmtId="164" fontId="81" fillId="0" borderId="78" xfId="0" applyNumberFormat="1" applyFont="1" applyBorder="1" applyAlignment="1">
      <alignment vertical="center"/>
    </xf>
    <xf numFmtId="169" fontId="81" fillId="0" borderId="79" xfId="0" applyNumberFormat="1" applyFont="1" applyBorder="1" applyAlignment="1">
      <alignment vertical="center"/>
    </xf>
    <xf numFmtId="164" fontId="81" fillId="0" borderId="80" xfId="0" applyNumberFormat="1" applyFont="1" applyBorder="1" applyAlignment="1">
      <alignment vertical="center"/>
    </xf>
    <xf numFmtId="169" fontId="81" fillId="0" borderId="81" xfId="0" applyNumberFormat="1" applyFont="1" applyBorder="1" applyAlignment="1">
      <alignment vertical="center"/>
    </xf>
    <xf numFmtId="164" fontId="60" fillId="0" borderId="0" xfId="0" applyNumberFormat="1" applyFont="1" applyAlignment="1">
      <alignment horizontal="left" indent="2"/>
    </xf>
    <xf numFmtId="164" fontId="42" fillId="0" borderId="0" xfId="0" applyNumberFormat="1" applyFont="1" applyAlignment="1">
      <alignment vertical="top"/>
    </xf>
    <xf numFmtId="164" fontId="12" fillId="0" borderId="0" xfId="0" applyNumberFormat="1" applyFont="1" applyAlignment="1">
      <alignment vertical="top"/>
    </xf>
    <xf numFmtId="164" fontId="85" fillId="18" borderId="82" xfId="0" applyNumberFormat="1" applyFont="1" applyFill="1" applyBorder="1" applyAlignment="1">
      <alignment horizontal="left" vertical="top" wrapText="1"/>
    </xf>
    <xf numFmtId="164" fontId="85" fillId="18" borderId="83" xfId="0" applyNumberFormat="1" applyFont="1" applyFill="1" applyBorder="1" applyAlignment="1">
      <alignment horizontal="center" wrapText="1"/>
    </xf>
    <xf numFmtId="164" fontId="85" fillId="18" borderId="84" xfId="0" applyNumberFormat="1" applyFont="1" applyFill="1" applyBorder="1" applyAlignment="1">
      <alignment horizontal="left" vertical="top" wrapText="1"/>
    </xf>
    <xf numFmtId="164" fontId="86" fillId="8" borderId="85" xfId="0" applyNumberFormat="1" applyFont="1" applyFill="1" applyBorder="1" applyAlignment="1">
      <alignment horizontal="left" vertical="top" wrapText="1"/>
    </xf>
    <xf numFmtId="188" fontId="86" fillId="8" borderId="85" xfId="0" applyNumberFormat="1" applyFont="1" applyFill="1" applyBorder="1" applyAlignment="1">
      <alignment horizontal="right" vertical="center"/>
    </xf>
    <xf numFmtId="164" fontId="86" fillId="19" borderId="85" xfId="0" applyNumberFormat="1" applyFont="1" applyFill="1" applyBorder="1" applyAlignment="1">
      <alignment horizontal="left" vertical="top" wrapText="1"/>
    </xf>
    <xf numFmtId="188" fontId="86" fillId="19" borderId="85" xfId="0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vertical="top" wrapText="1"/>
    </xf>
    <xf numFmtId="164" fontId="87" fillId="0" borderId="0" xfId="0" applyNumberFormat="1" applyFont="1"/>
    <xf numFmtId="164" fontId="88" fillId="0" borderId="0" xfId="0" applyNumberFormat="1" applyFont="1"/>
    <xf numFmtId="164" fontId="81" fillId="0" borderId="0" xfId="0" applyNumberFormat="1" applyFont="1"/>
    <xf numFmtId="164" fontId="80" fillId="0" borderId="86" xfId="0" applyNumberFormat="1" applyFont="1" applyBorder="1"/>
    <xf numFmtId="164" fontId="71" fillId="0" borderId="87" xfId="0" applyNumberFormat="1" applyFont="1" applyBorder="1" applyAlignment="1">
      <alignment horizontal="center" wrapText="1"/>
    </xf>
    <xf numFmtId="164" fontId="71" fillId="0" borderId="88" xfId="0" applyNumberFormat="1" applyFont="1" applyBorder="1" applyAlignment="1">
      <alignment horizontal="center" wrapText="1"/>
    </xf>
    <xf numFmtId="164" fontId="59" fillId="0" borderId="89" xfId="0" applyNumberFormat="1" applyFont="1" applyBorder="1"/>
    <xf numFmtId="176" fontId="60" fillId="0" borderId="36" xfId="0" applyNumberFormat="1" applyFont="1" applyBorder="1"/>
    <xf numFmtId="176" fontId="60" fillId="0" borderId="90" xfId="0" applyNumberFormat="1" applyFont="1" applyBorder="1"/>
    <xf numFmtId="164" fontId="59" fillId="0" borderId="89" xfId="0" applyNumberFormat="1" applyFont="1" applyBorder="1" applyAlignment="1">
      <alignment wrapText="1"/>
    </xf>
    <xf numFmtId="164" fontId="59" fillId="0" borderId="91" xfId="0" applyNumberFormat="1" applyFont="1" applyBorder="1"/>
    <xf numFmtId="176" fontId="60" fillId="0" borderId="92" xfId="0" applyNumberFormat="1" applyFont="1" applyBorder="1"/>
    <xf numFmtId="176" fontId="60" fillId="0" borderId="93" xfId="0" applyNumberFormat="1" applyFont="1" applyBorder="1"/>
    <xf numFmtId="164" fontId="89" fillId="0" borderId="54" xfId="0" applyNumberFormat="1" applyFont="1" applyBorder="1"/>
    <xf numFmtId="172" fontId="89" fillId="0" borderId="54" xfId="0" applyNumberFormat="1" applyFont="1" applyBorder="1" applyAlignment="1">
      <alignment horizontal="right"/>
    </xf>
    <xf numFmtId="172" fontId="89" fillId="0" borderId="54" xfId="0" applyNumberFormat="1" applyFont="1" applyBorder="1" applyAlignment="1">
      <alignment horizontal="center"/>
    </xf>
    <xf numFmtId="164" fontId="89" fillId="0" borderId="54" xfId="0" applyNumberFormat="1" applyFont="1" applyBorder="1" applyAlignment="1">
      <alignment horizontal="center"/>
    </xf>
    <xf numFmtId="164" fontId="90" fillId="0" borderId="54" xfId="0" applyNumberFormat="1" applyFont="1" applyBorder="1"/>
    <xf numFmtId="175" fontId="90" fillId="0" borderId="54" xfId="0" applyNumberFormat="1" applyFont="1" applyBorder="1"/>
    <xf numFmtId="183" fontId="88" fillId="0" borderId="0" xfId="0" applyNumberFormat="1" applyFont="1"/>
    <xf numFmtId="164" fontId="81" fillId="0" borderId="17" xfId="0" applyNumberFormat="1" applyFont="1" applyBorder="1"/>
    <xf numFmtId="175" fontId="81" fillId="0" borderId="16" xfId="0" applyNumberFormat="1" applyFont="1" applyBorder="1"/>
    <xf numFmtId="175" fontId="81" fillId="0" borderId="54" xfId="0" applyNumberFormat="1" applyFont="1" applyBorder="1"/>
    <xf numFmtId="164" fontId="81" fillId="0" borderId="94" xfId="0" applyNumberFormat="1" applyFont="1" applyBorder="1"/>
    <xf numFmtId="175" fontId="81" fillId="0" borderId="95" xfId="0" applyNumberFormat="1" applyFont="1" applyBorder="1"/>
    <xf numFmtId="164" fontId="81" fillId="0" borderId="13" xfId="0" applyNumberFormat="1" applyFont="1" applyBorder="1"/>
    <xf numFmtId="175" fontId="81" fillId="0" borderId="12" xfId="0" applyNumberFormat="1" applyFont="1" applyBorder="1"/>
    <xf numFmtId="175" fontId="89" fillId="0" borderId="54" xfId="0" applyNumberFormat="1" applyFont="1" applyBorder="1"/>
    <xf numFmtId="175" fontId="90" fillId="0" borderId="54" xfId="0" applyNumberFormat="1" applyFont="1" applyBorder="1"/>
    <xf numFmtId="175" fontId="81" fillId="0" borderId="54" xfId="0" applyNumberFormat="1" applyFont="1" applyBorder="1" applyAlignment="1">
      <alignment horizontal="right"/>
    </xf>
    <xf numFmtId="164" fontId="89" fillId="0" borderId="10" xfId="0" applyNumberFormat="1" applyFont="1" applyBorder="1" applyAlignment="1">
      <alignment horizontal="left"/>
    </xf>
    <xf numFmtId="172" fontId="89" fillId="0" borderId="71" xfId="0" applyNumberFormat="1" applyFont="1" applyBorder="1" applyAlignment="1">
      <alignment horizontal="center"/>
    </xf>
    <xf numFmtId="172" fontId="89" fillId="0" borderId="8" xfId="0" applyNumberFormat="1" applyFont="1" applyBorder="1" applyAlignment="1">
      <alignment horizontal="center"/>
    </xf>
    <xf numFmtId="164" fontId="89" fillId="0" borderId="8" xfId="0" applyNumberFormat="1" applyFont="1" applyBorder="1" applyAlignment="1">
      <alignment horizontal="center"/>
    </xf>
    <xf numFmtId="172" fontId="89" fillId="0" borderId="9" xfId="0" applyNumberFormat="1" applyFont="1" applyBorder="1" applyAlignment="1">
      <alignment horizontal="center"/>
    </xf>
    <xf numFmtId="172" fontId="89" fillId="0" borderId="10" xfId="0" applyNumberFormat="1" applyFont="1" applyBorder="1" applyAlignment="1">
      <alignment horizontal="center"/>
    </xf>
    <xf numFmtId="164" fontId="90" fillId="0" borderId="10" xfId="0" applyNumberFormat="1" applyFont="1" applyBorder="1" applyAlignment="1">
      <alignment horizontal="left"/>
    </xf>
    <xf numFmtId="175" fontId="90" fillId="0" borderId="69" xfId="0" applyNumberFormat="1" applyFont="1" applyBorder="1"/>
    <xf numFmtId="175" fontId="90" fillId="0" borderId="95" xfId="0" applyNumberFormat="1" applyFont="1" applyBorder="1"/>
    <xf numFmtId="175" fontId="90" fillId="0" borderId="94" xfId="0" applyNumberFormat="1" applyFont="1" applyBorder="1"/>
    <xf numFmtId="175" fontId="90" fillId="0" borderId="45" xfId="0" applyNumberFormat="1" applyFont="1" applyBorder="1"/>
    <xf numFmtId="175" fontId="90" fillId="0" borderId="71" xfId="0" applyNumberFormat="1" applyFont="1" applyBorder="1"/>
    <xf numFmtId="175" fontId="90" fillId="0" borderId="8" xfId="0" applyNumberFormat="1" applyFont="1" applyBorder="1"/>
    <xf numFmtId="175" fontId="90" fillId="0" borderId="9" xfId="0" applyNumberFormat="1" applyFont="1" applyBorder="1"/>
    <xf numFmtId="175" fontId="90" fillId="0" borderId="10" xfId="0" applyNumberFormat="1" applyFont="1" applyBorder="1"/>
    <xf numFmtId="164" fontId="88" fillId="0" borderId="19" xfId="0" applyNumberFormat="1" applyFont="1" applyBorder="1"/>
    <xf numFmtId="164" fontId="81" fillId="0" borderId="96" xfId="0" applyNumberFormat="1" applyFont="1" applyBorder="1"/>
    <xf numFmtId="175" fontId="81" fillId="0" borderId="72" xfId="0" applyNumberFormat="1" applyFont="1" applyBorder="1"/>
    <xf numFmtId="175" fontId="81" fillId="0" borderId="20" xfId="0" applyNumberFormat="1" applyFont="1" applyBorder="1"/>
    <xf numFmtId="175" fontId="81" fillId="0" borderId="21" xfId="0" applyNumberFormat="1" applyFont="1" applyBorder="1"/>
    <xf numFmtId="175" fontId="81" fillId="0" borderId="22" xfId="0" applyNumberFormat="1" applyFont="1" applyBorder="1"/>
    <xf numFmtId="164" fontId="88" fillId="0" borderId="73" xfId="0" applyNumberFormat="1" applyFont="1" applyBorder="1" applyAlignment="1">
      <alignment horizontal="right"/>
    </xf>
    <xf numFmtId="164" fontId="81" fillId="0" borderId="97" xfId="0" applyNumberFormat="1" applyFont="1" applyBorder="1"/>
    <xf numFmtId="175" fontId="81" fillId="0" borderId="49" xfId="0" applyNumberFormat="1" applyFont="1" applyBorder="1"/>
    <xf numFmtId="175" fontId="81" fillId="0" borderId="57" xfId="0" applyNumberFormat="1" applyFont="1" applyBorder="1"/>
    <xf numFmtId="175" fontId="81" fillId="0" borderId="74" xfId="0" applyNumberFormat="1" applyFont="1" applyBorder="1"/>
    <xf numFmtId="164" fontId="91" fillId="0" borderId="73" xfId="0" applyNumberFormat="1" applyFont="1" applyBorder="1" applyAlignment="1">
      <alignment horizontal="right"/>
    </xf>
    <xf numFmtId="189" fontId="87" fillId="0" borderId="0" xfId="0" applyNumberFormat="1" applyFont="1"/>
    <xf numFmtId="164" fontId="88" fillId="0" borderId="98" xfId="0" applyNumberFormat="1" applyFont="1" applyBorder="1" applyAlignment="1">
      <alignment horizontal="right"/>
    </xf>
    <xf numFmtId="164" fontId="81" fillId="0" borderId="99" xfId="0" applyNumberFormat="1" applyFont="1" applyBorder="1"/>
    <xf numFmtId="175" fontId="81" fillId="0" borderId="100" xfId="0" applyNumberFormat="1" applyFont="1" applyBorder="1"/>
    <xf numFmtId="175" fontId="81" fillId="0" borderId="24" xfId="0" applyNumberFormat="1" applyFont="1" applyBorder="1"/>
    <xf numFmtId="175" fontId="81" fillId="0" borderId="25" xfId="0" applyNumberFormat="1" applyFont="1" applyBorder="1"/>
    <xf numFmtId="175" fontId="81" fillId="0" borderId="26" xfId="0" applyNumberFormat="1" applyFont="1" applyBorder="1"/>
    <xf numFmtId="187" fontId="87" fillId="0" borderId="0" xfId="0" applyNumberFormat="1" applyFont="1"/>
    <xf numFmtId="164" fontId="92" fillId="0" borderId="0" xfId="0" applyNumberFormat="1" applyFont="1"/>
    <xf numFmtId="164" fontId="48" fillId="0" borderId="0" xfId="0" applyNumberFormat="1" applyFont="1"/>
    <xf numFmtId="183" fontId="92" fillId="0" borderId="0" xfId="0" applyNumberFormat="1" applyFont="1"/>
    <xf numFmtId="183" fontId="50" fillId="0" borderId="0" xfId="0" applyNumberFormat="1" applyFont="1" applyAlignment="1">
      <alignment horizontal="center"/>
    </xf>
    <xf numFmtId="164" fontId="50" fillId="0" borderId="0" xfId="0" applyNumberFormat="1" applyFont="1" applyAlignment="1">
      <alignment horizontal="center"/>
    </xf>
    <xf numFmtId="164" fontId="50" fillId="0" borderId="0" xfId="0" applyNumberFormat="1" applyFont="1" applyAlignment="1">
      <alignment horizontal="right"/>
    </xf>
    <xf numFmtId="164" fontId="93" fillId="20" borderId="0" xfId="0" applyNumberFormat="1" applyFont="1" applyFill="1" applyAlignment="1">
      <alignment horizontal="center" vertical="center"/>
    </xf>
    <xf numFmtId="164" fontId="93" fillId="20" borderId="0" xfId="0" applyNumberFormat="1" applyFont="1" applyFill="1" applyAlignment="1">
      <alignment horizontal="center" vertical="center"/>
    </xf>
    <xf numFmtId="177" fontId="48" fillId="8" borderId="49" xfId="0" applyNumberFormat="1" applyFont="1" applyFill="1" applyBorder="1"/>
    <xf numFmtId="177" fontId="48" fillId="8" borderId="54" xfId="0" applyNumberFormat="1" applyFont="1" applyFill="1" applyBorder="1" applyAlignment="1">
      <alignment horizontal="center"/>
    </xf>
    <xf numFmtId="178" fontId="48" fillId="8" borderId="56" xfId="0" applyNumberFormat="1" applyFont="1" applyFill="1" applyBorder="1" applyAlignment="1">
      <alignment horizontal="center"/>
    </xf>
    <xf numFmtId="177" fontId="48" fillId="8" borderId="70" xfId="0" applyNumberFormat="1" applyFont="1" applyFill="1" applyBorder="1"/>
    <xf numFmtId="171" fontId="94" fillId="8" borderId="54" xfId="0" applyNumberFormat="1" applyFont="1" applyFill="1" applyBorder="1"/>
    <xf numFmtId="177" fontId="48" fillId="8" borderId="56" xfId="0" applyNumberFormat="1" applyFont="1" applyFill="1" applyBorder="1" applyAlignment="1">
      <alignment horizontal="right"/>
    </xf>
    <xf numFmtId="184" fontId="92" fillId="0" borderId="0" xfId="0" applyNumberFormat="1" applyFont="1"/>
    <xf numFmtId="177" fontId="50" fillId="8" borderId="69" xfId="0" applyNumberFormat="1" applyFont="1" applyFill="1" applyBorder="1"/>
    <xf numFmtId="177" fontId="50" fillId="8" borderId="95" xfId="0" applyNumberFormat="1" applyFont="1" applyFill="1" applyBorder="1"/>
    <xf numFmtId="177" fontId="48" fillId="8" borderId="17" xfId="0" applyNumberFormat="1" applyFont="1" applyFill="1" applyBorder="1" applyAlignment="1">
      <alignment horizontal="right"/>
    </xf>
    <xf numFmtId="190" fontId="0" fillId="8" borderId="0" xfId="0" applyNumberFormat="1" applyFill="1" applyAlignment="1">
      <alignment horizontal="right" vertical="center"/>
    </xf>
    <xf numFmtId="177" fontId="48" fillId="8" borderId="94" xfId="0" applyNumberFormat="1" applyFont="1" applyFill="1" applyBorder="1" applyAlignment="1">
      <alignment horizontal="right"/>
    </xf>
    <xf numFmtId="177" fontId="50" fillId="8" borderId="70" xfId="0" applyNumberFormat="1" applyFont="1" applyFill="1" applyBorder="1"/>
    <xf numFmtId="177" fontId="50" fillId="8" borderId="12" xfId="0" applyNumberFormat="1" applyFont="1" applyFill="1" applyBorder="1"/>
    <xf numFmtId="177" fontId="48" fillId="8" borderId="13" xfId="0" applyNumberFormat="1" applyFont="1" applyFill="1" applyBorder="1" applyAlignment="1">
      <alignment horizontal="right"/>
    </xf>
    <xf numFmtId="177" fontId="48" fillId="8" borderId="12" xfId="0" applyNumberFormat="1" applyFont="1" applyFill="1" applyBorder="1"/>
    <xf numFmtId="177" fontId="48" fillId="8" borderId="29" xfId="0" applyNumberFormat="1" applyFont="1" applyFill="1" applyBorder="1" applyAlignment="1">
      <alignment horizontal="right"/>
    </xf>
    <xf numFmtId="164" fontId="41" fillId="13" borderId="0" xfId="0" applyNumberFormat="1" applyFont="1" applyFill="1" applyAlignment="1">
      <alignment vertical="center"/>
    </xf>
    <xf numFmtId="190" fontId="41" fillId="13" borderId="0" xfId="0" applyNumberFormat="1" applyFont="1" applyFill="1" applyAlignment="1">
      <alignment horizontal="right" vertical="center"/>
    </xf>
    <xf numFmtId="177" fontId="50" fillId="8" borderId="29" xfId="0" applyNumberFormat="1" applyFont="1" applyFill="1" applyBorder="1" applyAlignment="1">
      <alignment horizontal="right"/>
    </xf>
    <xf numFmtId="177" fontId="50" fillId="8" borderId="0" xfId="0" applyNumberFormat="1" applyFont="1" applyFill="1" applyAlignment="1">
      <alignment horizontal="right"/>
    </xf>
    <xf numFmtId="184" fontId="0" fillId="8" borderId="0" xfId="0" applyNumberFormat="1" applyFill="1" applyAlignment="1">
      <alignment horizontal="left" vertical="center"/>
    </xf>
    <xf numFmtId="184" fontId="0" fillId="13" borderId="0" xfId="0" applyNumberFormat="1" applyFill="1" applyAlignment="1">
      <alignment horizontal="left" vertical="center"/>
    </xf>
    <xf numFmtId="190" fontId="41" fillId="13" borderId="0" xfId="0" applyNumberFormat="1" applyFont="1" applyFill="1" applyAlignment="1">
      <alignment vertical="center"/>
    </xf>
    <xf numFmtId="164" fontId="93" fillId="20" borderId="0" xfId="0" applyNumberFormat="1" applyFont="1" applyFill="1" applyAlignment="1">
      <alignment horizontal="center" vertical="center" wrapText="1"/>
    </xf>
    <xf numFmtId="177" fontId="50" fillId="0" borderId="0" xfId="0" applyNumberFormat="1" applyFont="1" applyAlignment="1">
      <alignment horizontal="left" vertical="top" wrapText="1"/>
    </xf>
    <xf numFmtId="191" fontId="0" fillId="8" borderId="0" xfId="0" applyNumberFormat="1" applyFill="1" applyAlignment="1">
      <alignment horizontal="right" vertical="center"/>
    </xf>
    <xf numFmtId="167" fontId="0" fillId="8" borderId="0" xfId="0" applyNumberFormat="1" applyFill="1" applyAlignment="1">
      <alignment vertical="center"/>
    </xf>
    <xf numFmtId="177" fontId="50" fillId="0" borderId="0" xfId="0" applyNumberFormat="1" applyFont="1" applyAlignment="1">
      <alignment horizontal="center"/>
    </xf>
    <xf numFmtId="167" fontId="92" fillId="0" borderId="0" xfId="0" applyNumberFormat="1" applyFont="1"/>
    <xf numFmtId="166" fontId="92" fillId="0" borderId="0" xfId="0" applyNumberFormat="1" applyFont="1"/>
    <xf numFmtId="164" fontId="59" fillId="0" borderId="0" xfId="0" applyNumberFormat="1" applyFont="1"/>
    <xf numFmtId="164" fontId="59" fillId="0" borderId="0" xfId="0" applyNumberFormat="1" applyFont="1" applyAlignment="1">
      <alignment horizontal="center"/>
    </xf>
    <xf numFmtId="164" fontId="59" fillId="0" borderId="0" xfId="0" applyNumberFormat="1" applyFont="1" applyAlignment="1">
      <alignment horizontal="center" wrapText="1"/>
    </xf>
    <xf numFmtId="176" fontId="59" fillId="0" borderId="0" xfId="0" applyNumberFormat="1" applyFont="1"/>
    <xf numFmtId="164" fontId="59" fillId="0" borderId="0" xfId="0" applyNumberFormat="1" applyFont="1" applyAlignment="1">
      <alignment wrapText="1"/>
    </xf>
    <xf numFmtId="176" fontId="87" fillId="0" borderId="0" xfId="0" applyNumberFormat="1" applyFont="1"/>
    <xf numFmtId="164" fontId="58" fillId="0" borderId="0" xfId="0" applyNumberFormat="1" applyFont="1" applyAlignment="1">
      <alignment horizontal="left" vertical="center"/>
    </xf>
    <xf numFmtId="164" fontId="58" fillId="0" borderId="0" xfId="0" applyNumberFormat="1" applyFont="1"/>
    <xf numFmtId="164" fontId="59" fillId="0" borderId="0" xfId="0" applyNumberFormat="1" applyFont="1" applyAlignment="1">
      <alignment horizontal="right"/>
    </xf>
    <xf numFmtId="178" fontId="25" fillId="6" borderId="0" xfId="0" applyNumberFormat="1" applyFont="1" applyFill="1"/>
    <xf numFmtId="178" fontId="25" fillId="6" borderId="0" xfId="0" applyNumberFormat="1" applyFont="1" applyFill="1" applyAlignment="1">
      <alignment horizontal="center"/>
    </xf>
    <xf numFmtId="177" fontId="26" fillId="7" borderId="0" xfId="0" applyNumberFormat="1" applyFont="1" applyFill="1" applyAlignment="1">
      <alignment horizontal="right"/>
    </xf>
    <xf numFmtId="177" fontId="24" fillId="8" borderId="0" xfId="0" applyNumberFormat="1" applyFont="1" applyFill="1"/>
    <xf numFmtId="177" fontId="24" fillId="8" borderId="0" xfId="0" applyNumberFormat="1" applyFont="1" applyFill="1" applyAlignment="1">
      <alignment horizontal="right"/>
    </xf>
    <xf numFmtId="177" fontId="26" fillId="7" borderId="0" xfId="0" applyNumberFormat="1" applyFont="1" applyFill="1" applyAlignment="1">
      <alignment horizontal="right"/>
    </xf>
    <xf numFmtId="177" fontId="70" fillId="6" borderId="0" xfId="0" applyNumberFormat="1" applyFont="1" applyFill="1"/>
    <xf numFmtId="178" fontId="70" fillId="6" borderId="0" xfId="0" applyNumberFormat="1" applyFont="1" applyFill="1" applyAlignment="1">
      <alignment horizontal="right"/>
    </xf>
    <xf numFmtId="177" fontId="60" fillId="0" borderId="0" xfId="0" applyNumberFormat="1" applyFont="1" applyAlignment="1">
      <alignment horizontal="left" vertical="top" wrapText="1"/>
    </xf>
    <xf numFmtId="164" fontId="60" fillId="0" borderId="0" xfId="0" applyNumberFormat="1" applyFont="1"/>
    <xf numFmtId="164" fontId="26" fillId="0" borderId="0" xfId="0" applyNumberFormat="1" applyFont="1" applyAlignment="1">
      <alignment vertical="center" wrapText="1"/>
    </xf>
    <xf numFmtId="164" fontId="24" fillId="8" borderId="0" xfId="0" applyNumberFormat="1" applyFont="1" applyFill="1" applyAlignment="1">
      <alignment horizontal="justify" vertical="center"/>
    </xf>
    <xf numFmtId="186" fontId="24" fillId="8" borderId="0" xfId="0" applyNumberFormat="1" applyFont="1" applyFill="1" applyAlignment="1">
      <alignment horizontal="right" vertical="center" wrapText="1"/>
    </xf>
    <xf numFmtId="192" fontId="24" fillId="8" borderId="0" xfId="0" applyNumberFormat="1" applyFont="1" applyFill="1" applyAlignment="1">
      <alignment horizontal="right" vertical="center" wrapText="1"/>
    </xf>
    <xf numFmtId="164" fontId="26" fillId="7" borderId="0" xfId="0" applyNumberFormat="1" applyFont="1" applyFill="1" applyAlignment="1">
      <alignment horizontal="justify" vertical="center"/>
    </xf>
    <xf numFmtId="164" fontId="26" fillId="7" borderId="0" xfId="0" applyNumberFormat="1" applyFont="1" applyFill="1" applyAlignment="1">
      <alignment horizontal="right" vertical="center" wrapText="1"/>
    </xf>
    <xf numFmtId="187" fontId="26" fillId="7" borderId="0" xfId="0" applyNumberFormat="1" applyFont="1" applyFill="1" applyAlignment="1">
      <alignment horizontal="right" vertical="center" wrapText="1"/>
    </xf>
    <xf numFmtId="164" fontId="24" fillId="8" borderId="0" xfId="0" applyNumberFormat="1" applyFont="1" applyFill="1" applyAlignment="1">
      <alignment horizontal="right" vertical="center" wrapText="1"/>
    </xf>
    <xf numFmtId="187" fontId="24" fillId="8" borderId="0" xfId="0" applyNumberFormat="1" applyFont="1" applyFill="1" applyAlignment="1">
      <alignment horizontal="right" vertical="center" wrapText="1"/>
    </xf>
    <xf numFmtId="164" fontId="25" fillId="6" borderId="0" xfId="0" applyNumberFormat="1" applyFont="1" applyFill="1" applyAlignment="1">
      <alignment horizontal="justify" vertical="center"/>
    </xf>
    <xf numFmtId="164" fontId="25" fillId="6" borderId="0" xfId="0" applyNumberFormat="1" applyFont="1" applyFill="1" applyAlignment="1">
      <alignment horizontal="right" vertical="center" wrapText="1"/>
    </xf>
    <xf numFmtId="187" fontId="25" fillId="6" borderId="0" xfId="0" applyNumberFormat="1" applyFont="1" applyFill="1" applyAlignment="1">
      <alignment horizontal="right" vertical="center" wrapText="1"/>
    </xf>
    <xf numFmtId="167" fontId="8" fillId="0" borderId="0" xfId="0" applyNumberFormat="1" applyFont="1" applyAlignment="1">
      <alignment horizontal="center"/>
    </xf>
    <xf numFmtId="167" fontId="8" fillId="0" borderId="101" xfId="0" applyNumberFormat="1" applyFont="1" applyBorder="1"/>
    <xf numFmtId="164" fontId="96" fillId="0" borderId="0" xfId="0" applyNumberFormat="1" applyFont="1"/>
    <xf numFmtId="173" fontId="97" fillId="21" borderId="0" xfId="0" applyNumberFormat="1" applyFont="1" applyFill="1" applyAlignment="1">
      <alignment horizontal="right"/>
    </xf>
    <xf numFmtId="184" fontId="97" fillId="21" borderId="0" xfId="0" applyNumberFormat="1" applyFont="1" applyFill="1" applyAlignment="1">
      <alignment horizontal="left"/>
    </xf>
    <xf numFmtId="164" fontId="98" fillId="0" borderId="0" xfId="0" applyNumberFormat="1" applyFont="1"/>
    <xf numFmtId="164" fontId="8" fillId="0" borderId="102" xfId="0" applyNumberFormat="1" applyFont="1" applyBorder="1"/>
    <xf numFmtId="164" fontId="8" fillId="0" borderId="102" xfId="0" applyNumberFormat="1" applyFont="1" applyBorder="1" applyAlignment="1">
      <alignment horizontal="center"/>
    </xf>
    <xf numFmtId="164" fontId="8" fillId="0" borderId="102" xfId="0" applyNumberFormat="1" applyFont="1" applyBorder="1" applyAlignment="1">
      <alignment horizontal="center" wrapText="1"/>
    </xf>
    <xf numFmtId="164" fontId="9" fillId="22" borderId="102" xfId="0" applyNumberFormat="1" applyFont="1" applyFill="1" applyBorder="1"/>
    <xf numFmtId="169" fontId="9" fillId="22" borderId="102" xfId="0" applyNumberFormat="1" applyFont="1" applyFill="1" applyBorder="1"/>
    <xf numFmtId="164" fontId="8" fillId="2" borderId="102" xfId="0" applyNumberFormat="1" applyFont="1" applyFill="1" applyBorder="1"/>
    <xf numFmtId="171" fontId="8" fillId="2" borderId="102" xfId="0" applyNumberFormat="1" applyFont="1" applyFill="1" applyBorder="1"/>
    <xf numFmtId="164" fontId="99" fillId="0" borderId="102" xfId="0" applyNumberFormat="1" applyFont="1" applyBorder="1"/>
    <xf numFmtId="171" fontId="8" fillId="0" borderId="102" xfId="0" applyNumberFormat="1" applyFont="1" applyBorder="1"/>
    <xf numFmtId="180" fontId="8" fillId="0" borderId="0" xfId="0" applyNumberFormat="1" applyFont="1"/>
    <xf numFmtId="165" fontId="8" fillId="0" borderId="0" xfId="0" applyNumberFormat="1" applyFont="1"/>
    <xf numFmtId="164" fontId="100" fillId="2" borderId="102" xfId="0" applyNumberFormat="1" applyFont="1" applyFill="1" applyBorder="1"/>
    <xf numFmtId="164" fontId="99" fillId="2" borderId="102" xfId="0" applyNumberFormat="1" applyFont="1" applyFill="1" applyBorder="1"/>
    <xf numFmtId="169" fontId="8" fillId="2" borderId="102" xfId="0" applyNumberFormat="1" applyFont="1" applyFill="1" applyBorder="1" applyAlignment="1">
      <alignment horizontal="right"/>
    </xf>
    <xf numFmtId="164" fontId="101" fillId="0" borderId="0" xfId="0" applyNumberFormat="1" applyFont="1"/>
    <xf numFmtId="164" fontId="81" fillId="0" borderId="50" xfId="0" applyNumberFormat="1" applyFont="1" applyBorder="1"/>
    <xf numFmtId="169" fontId="81" fillId="0" borderId="50" xfId="0" applyNumberFormat="1" applyFont="1" applyBorder="1"/>
    <xf numFmtId="169" fontId="81" fillId="0" borderId="0" xfId="0" applyNumberFormat="1" applyFont="1"/>
    <xf numFmtId="169" fontId="101" fillId="0" borderId="50" xfId="0" applyNumberFormat="1" applyFont="1" applyBorder="1"/>
    <xf numFmtId="164" fontId="81" fillId="0" borderId="103" xfId="0" applyNumberFormat="1" applyFont="1" applyBorder="1"/>
    <xf numFmtId="169" fontId="81" fillId="0" borderId="103" xfId="0" applyNumberFormat="1" applyFont="1" applyBorder="1"/>
    <xf numFmtId="169" fontId="101" fillId="0" borderId="103" xfId="0" applyNumberFormat="1" applyFont="1" applyBorder="1"/>
    <xf numFmtId="164" fontId="81" fillId="0" borderId="104" xfId="0" applyNumberFormat="1" applyFont="1" applyBorder="1"/>
    <xf numFmtId="169" fontId="81" fillId="0" borderId="104" xfId="0" applyNumberFormat="1" applyFont="1" applyBorder="1"/>
    <xf numFmtId="169" fontId="101" fillId="0" borderId="104" xfId="0" applyNumberFormat="1" applyFont="1" applyBorder="1"/>
    <xf numFmtId="164" fontId="96" fillId="0" borderId="0" xfId="0" applyNumberFormat="1" applyFont="1" applyAlignment="1">
      <alignment horizontal="center"/>
    </xf>
    <xf numFmtId="169" fontId="96" fillId="0" borderId="0" xfId="0" applyNumberFormat="1" applyFont="1"/>
    <xf numFmtId="164" fontId="116" fillId="0" borderId="0" xfId="0" applyNumberFormat="1" applyFont="1"/>
    <xf numFmtId="164" fontId="116" fillId="0" borderId="0" xfId="0" applyNumberFormat="1" applyFont="1" applyAlignment="1">
      <alignment horizontal="right"/>
    </xf>
    <xf numFmtId="176" fontId="0" fillId="0" borderId="0" xfId="0" applyNumberFormat="1"/>
    <xf numFmtId="164" fontId="0" fillId="0" borderId="0" xfId="0" applyNumberFormat="1" applyAlignment="1">
      <alignment horizontal="left"/>
    </xf>
    <xf numFmtId="189" fontId="0" fillId="0" borderId="0" xfId="0" applyNumberFormat="1"/>
    <xf numFmtId="183" fontId="0" fillId="0" borderId="0" xfId="0" applyNumberFormat="1"/>
    <xf numFmtId="167" fontId="0" fillId="0" borderId="0" xfId="0" applyNumberFormat="1"/>
    <xf numFmtId="171" fontId="0" fillId="0" borderId="0" xfId="0" applyNumberFormat="1"/>
    <xf numFmtId="193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29" fillId="23" borderId="105" xfId="0" applyNumberFormat="1" applyFont="1" applyFill="1" applyBorder="1" applyAlignment="1">
      <alignment horizontal="center" vertical="center"/>
    </xf>
    <xf numFmtId="164" fontId="129" fillId="23" borderId="105" xfId="0" applyNumberFormat="1" applyFont="1" applyFill="1" applyBorder="1" applyAlignment="1">
      <alignment horizontal="center" vertical="center" wrapText="1"/>
    </xf>
    <xf numFmtId="164" fontId="130" fillId="24" borderId="106" xfId="0" applyNumberFormat="1" applyFont="1" applyFill="1" applyBorder="1" applyAlignment="1">
      <alignment horizontal="left"/>
    </xf>
    <xf numFmtId="190" fontId="130" fillId="24" borderId="107" xfId="0" applyNumberFormat="1" applyFont="1" applyFill="1" applyBorder="1" applyAlignment="1">
      <alignment horizontal="right"/>
    </xf>
    <xf numFmtId="164" fontId="63" fillId="25" borderId="106" xfId="0" applyNumberFormat="1" applyFont="1" applyFill="1" applyBorder="1" applyAlignment="1">
      <alignment horizontal="left"/>
    </xf>
    <xf numFmtId="190" fontId="63" fillId="25" borderId="108" xfId="0" applyNumberFormat="1" applyFont="1" applyFill="1" applyBorder="1" applyAlignment="1">
      <alignment horizontal="right"/>
    </xf>
  </cellXfs>
  <cellStyles count="3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link" xfId="20"/>
    <cellStyle name="Hiperlink 2" xfId="21"/>
    <cellStyle name="Hiperlink Visitado" xfId="22"/>
    <cellStyle name="Normal 2" xfId="23"/>
    <cellStyle name="Normal 2 2" xfId="24"/>
    <cellStyle name="Normal 2 2 2" xfId="25"/>
    <cellStyle name="Normal 3" xfId="26"/>
    <cellStyle name="Normal 3 2" xfId="27"/>
    <cellStyle name="Normal 3 3" xfId="28"/>
    <cellStyle name="Normal 4" xfId="29"/>
    <cellStyle name="Normal 4 2" xfId="30"/>
    <cellStyle name="Normal 4 3" xfId="31"/>
    <cellStyle name="Normal 5" xfId="32"/>
    <cellStyle name="Normal 6" xfId="33"/>
    <cellStyle name="Porcentagem" xfId="34"/>
    <cellStyle name="Porcentagem 2" xfId="35"/>
    <cellStyle name="Porcentagem 2 2" xfId="36"/>
    <cellStyle name="Porcentagem 3" xfId="37"/>
    <cellStyle name="Porcentagem 3 2" xfId="38"/>
    <cellStyle name="Separador de milhares 2" xfId="39"/>
    <cellStyle name="Separador de milhares 2 2" xfId="40"/>
    <cellStyle name="Separador de milhares 3" xfId="41"/>
    <cellStyle name="Vírgula" xfId="42"/>
    <cellStyle name="Vírgula 2" xfId="43"/>
    <cellStyle name="Vírgula 3" xfId="44"/>
    <cellStyle name="Vírgula 3 2" xfId="45"/>
    <cellStyle name="Vírgula 4" xfId="46"/>
  </cellStyles>
  <colors>
    <indexedColors>
      <rgbColor rgb="FF000000"/>
      <rgbColor rgb="FFFFFFFF"/>
      <rgbColor rgb="FFFF0000"/>
      <rgbColor rgb="FF00B050"/>
      <rgbColor rgb="FF0000FF"/>
      <rgbColor rgb="FFFFFF00"/>
      <rgbColor rgb="FFD9D9D9"/>
      <rgbColor rgb="FF00A2A2"/>
      <rgbColor rgb="FF960000"/>
      <rgbColor rgb="FF375823"/>
      <rgbColor rgb="FF1F4D79"/>
      <rgbColor rgb="FF7F6000"/>
      <rgbColor rgb="FF6688C1"/>
      <rgbColor rgb="FF009999"/>
      <rgbColor rgb="FFC0C0C0"/>
      <rgbColor rgb="FF808080"/>
      <rgbColor rgb="FFA6A6A6"/>
      <rgbColor rgb="FF954F72"/>
      <rgbColor rgb="FFFFF2CC"/>
      <rgbColor rgb="FFDEECFA"/>
      <rgbColor rgb="FF44546A"/>
      <rgbColor rgb="FFD6D6D6"/>
      <rgbColor rgb="FF0563C1"/>
      <rgbColor rgb="FFD0CECE"/>
      <rgbColor rgb="FF1F6478"/>
      <rgbColor rgb="FFC0DAD9"/>
      <rgbColor rgb="FFE7E6E6"/>
      <rgbColor rgb="FF9BC2E6"/>
      <rgbColor rgb="FF9DC3E6"/>
      <rgbColor rgb="FFC00000"/>
      <rgbColor rgb="FF0070C0"/>
      <rgbColor rgb="FF2F75B5"/>
      <rgbColor rgb="FF00B0F0"/>
      <rgbColor rgb="FFE7F1F1"/>
      <rgbColor rgb="FFC6E0B4"/>
      <rgbColor rgb="FFFFE699"/>
      <rgbColor rgb="FF99CCFF"/>
      <rgbColor rgb="FFF4B084"/>
      <rgbColor rgb="FFBFBFBF"/>
      <rgbColor rgb="FFFFD966"/>
      <rgbColor rgb="FF2E75B6"/>
      <rgbColor rgb="FF5B9BD5"/>
      <rgbColor rgb="FFA9D08E"/>
      <rgbColor rgb="FFFFC000"/>
      <rgbColor rgb="FFEA801A"/>
      <rgbColor rgb="FF558435"/>
      <rgbColor rgb="FF595959"/>
      <rgbColor rgb="FF898989"/>
      <rgbColor rgb="FF002060"/>
      <rgbColor rgb="FF487B79"/>
      <rgbColor rgb="FF375623"/>
      <rgbColor rgb="FF252626"/>
      <rgbColor rgb="FF843C0C"/>
      <rgbColor rgb="FF525252"/>
      <rgbColor rgb="FF5038BC"/>
      <rgbColor rgb="FF404040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 TargetMode="Internal"/><Relationship Id="rId10" Type="http://schemas.openxmlformats.org/officeDocument/2006/relationships/worksheet" Target="worksheets/sheet9.xml" TargetMode="Internal"/><Relationship Id="rId11" Type="http://schemas.openxmlformats.org/officeDocument/2006/relationships/worksheet" Target="worksheets/sheet10.xml" TargetMode="Internal"/><Relationship Id="rId12" Type="http://schemas.openxmlformats.org/officeDocument/2006/relationships/worksheet" Target="worksheets/sheet11.xml" TargetMode="Internal"/><Relationship Id="rId13" Type="http://schemas.openxmlformats.org/officeDocument/2006/relationships/worksheet" Target="worksheets/sheet12.xml" TargetMode="Internal"/><Relationship Id="rId14" Type="http://schemas.openxmlformats.org/officeDocument/2006/relationships/worksheet" Target="worksheets/sheet13.xml" TargetMode="Internal"/><Relationship Id="rId15" Type="http://schemas.openxmlformats.org/officeDocument/2006/relationships/worksheet" Target="worksheets/sheet14.xml" TargetMode="Internal"/><Relationship Id="rId16" Type="http://schemas.openxmlformats.org/officeDocument/2006/relationships/worksheet" Target="worksheets/sheet15.xml" TargetMode="Internal"/><Relationship Id="rId17" Type="http://schemas.openxmlformats.org/officeDocument/2006/relationships/worksheet" Target="worksheets/sheet16.xml" TargetMode="Internal"/><Relationship Id="rId18" Type="http://schemas.openxmlformats.org/officeDocument/2006/relationships/worksheet" Target="worksheets/sheet17.xml" TargetMode="Internal"/><Relationship Id="rId19" Type="http://schemas.openxmlformats.org/officeDocument/2006/relationships/worksheet" Target="worksheets/sheet18.xml" TargetMode="Internal"/><Relationship Id="rId2" Type="http://schemas.openxmlformats.org/officeDocument/2006/relationships/worksheet" Target="worksheets/sheet1.xml" TargetMode="Internal"/><Relationship Id="rId20" Type="http://schemas.openxmlformats.org/officeDocument/2006/relationships/worksheet" Target="worksheets/sheet19.xml" TargetMode="Internal"/><Relationship Id="rId21" Type="http://schemas.openxmlformats.org/officeDocument/2006/relationships/worksheet" Target="worksheets/sheet20.xml" TargetMode="Internal"/><Relationship Id="rId22" Type="http://schemas.openxmlformats.org/officeDocument/2006/relationships/worksheet" Target="worksheets/sheet21.xml" TargetMode="Internal"/><Relationship Id="rId23" Type="http://schemas.openxmlformats.org/officeDocument/2006/relationships/worksheet" Target="worksheets/sheet22.xml" TargetMode="Internal"/><Relationship Id="rId24" Type="http://schemas.openxmlformats.org/officeDocument/2006/relationships/worksheet" Target="worksheets/sheet23.xml" TargetMode="Internal"/><Relationship Id="rId25" Type="http://schemas.openxmlformats.org/officeDocument/2006/relationships/worksheet" Target="worksheets/sheet24.xml" TargetMode="Internal"/><Relationship Id="rId26" Type="http://schemas.openxmlformats.org/officeDocument/2006/relationships/externalLink" Target="externalLinks/externalLink11.xml" TargetMode="Internal"/><Relationship Id="rId27" Type="http://schemas.openxmlformats.org/officeDocument/2006/relationships/externalLink" Target="externalLinks/externalLink3.xml" TargetMode="Internal"/><Relationship Id="rId28" Type="http://schemas.openxmlformats.org/officeDocument/2006/relationships/externalLink" Target="externalLinks/externalLink12.xml" TargetMode="Internal"/><Relationship Id="rId29" Type="http://schemas.openxmlformats.org/officeDocument/2006/relationships/externalLink" Target="externalLinks/externalLink13.xml" TargetMode="Internal"/><Relationship Id="rId3" Type="http://schemas.openxmlformats.org/officeDocument/2006/relationships/worksheet" Target="worksheets/sheet2.xml" TargetMode="Internal"/><Relationship Id="rId30" Type="http://schemas.openxmlformats.org/officeDocument/2006/relationships/externalLink" Target="externalLinks/externalLink6.xml" TargetMode="Internal"/><Relationship Id="rId31" Type="http://schemas.openxmlformats.org/officeDocument/2006/relationships/externalLink" Target="externalLinks/externalLink8.xml" TargetMode="Internal"/><Relationship Id="rId32" Type="http://schemas.openxmlformats.org/officeDocument/2006/relationships/externalLink" Target="externalLinks/externalLink15.xml" TargetMode="Internal"/><Relationship Id="rId33" Type="http://schemas.openxmlformats.org/officeDocument/2006/relationships/externalLink" Target="externalLinks/externalLink16.xml" TargetMode="Internal"/><Relationship Id="rId34" Type="http://schemas.openxmlformats.org/officeDocument/2006/relationships/externalLink" Target="externalLinks/externalLink10.xml" TargetMode="Internal"/><Relationship Id="rId35" Type="http://schemas.openxmlformats.org/officeDocument/2006/relationships/sharedStrings" Target="sharedStrings.xml" TargetMode="Internal"/><Relationship Id="rId36" Type="http://schemas.openxmlformats.org/officeDocument/2006/relationships/pivotCacheDefinition" Target="pivotCache/pivotCacheDefinition1.xml" TargetMode="Internal"/><Relationship Id="rId4" Type="http://schemas.openxmlformats.org/officeDocument/2006/relationships/worksheet" Target="worksheets/sheet3.xml" TargetMode="Internal"/><Relationship Id="rId5" Type="http://schemas.openxmlformats.org/officeDocument/2006/relationships/worksheet" Target="worksheets/sheet4.xml" TargetMode="Internal"/><Relationship Id="rId6" Type="http://schemas.openxmlformats.org/officeDocument/2006/relationships/worksheet" Target="worksheets/sheet5.xml" TargetMode="Internal"/><Relationship Id="rId7" Type="http://schemas.openxmlformats.org/officeDocument/2006/relationships/worksheet" Target="worksheets/sheet6.xml" TargetMode="Internal"/><Relationship Id="rId8" Type="http://schemas.openxmlformats.org/officeDocument/2006/relationships/worksheet" Target="worksheets/sheet7.xml" TargetMode="Internal"/><Relationship Id="rId9" Type="http://schemas.openxmlformats.org/officeDocument/2006/relationships/worksheet" Target="worksheets/sheet8.xml" TargetMode="Interna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marker val="0"/>
        <c:grouping val="stacked"/>
        <c:varyColors val="0"/>
        <c:ser>
          <c:idx val="0"/>
          <c:order val="0"/>
          <c:tx>
            <c:strRef>
              <c:f>RCL!$L$27</c:f>
              <c:strCache>
                <c:ptCount val="1"/>
                <c:pt idx="0">
                  <c:v>RCL</c:v>
                </c:pt>
              </c:strCache>
            </c:strRef>
          </c:tx>
          <c:spPr>
            <a:noFill/>
            <a:ln>
              <a:noFill/>
            </a:ln>
          </c:spPr>
          <c:marker>
            <c:symbol val="none"/>
            <c:size val="9"/>
          </c:marker>
          <c:dPt>
            <c:idx val="38"/>
            <c:spPr>
              <a:noFill/>
              <a:ln>
                <a:noFill/>
              </a:ln>
            </c:spPr>
          </c:dPt>
          <c:dPt>
            <c:idx val="50"/>
            <c:spPr>
              <a:noFill/>
              <a:ln>
                <a:noFill/>
              </a:ln>
            </c:spPr>
          </c:dPt>
          <c:dPt>
            <c:idx val="78"/>
            <c:spPr>
              <a:noFill/>
              <a:ln>
                <a:noFill/>
              </a:ln>
            </c:spPr>
          </c:dPt>
          <c:dPt>
            <c:idx val="82"/>
            <c:spPr>
              <a:noFill/>
              <a:ln>
                <a:noFill/>
              </a:ln>
            </c:spPr>
          </c:dPt>
          <c:dPt>
            <c:idx val="86"/>
            <c:spPr>
              <a:noFill/>
              <a:ln>
                <a:noFill/>
              </a:ln>
            </c:spPr>
          </c:dPt>
          <c:dPt>
            <c:idx val="90"/>
            <c:spPr>
              <a:noFill/>
              <a:ln>
                <a:noFill/>
              </a:ln>
            </c:spPr>
          </c:dPt>
          <c:dPt>
            <c:idx val="94"/>
            <c:spPr>
              <a:noFill/>
              <a:ln>
                <a:noFill/>
              </a:ln>
            </c:spPr>
          </c:dPt>
          <c:dPt>
            <c:idx val="98"/>
            <c:spPr>
              <a:noFill/>
              <a:ln>
                <a:noFill/>
              </a:ln>
            </c:spPr>
          </c:dPt>
          <c:dPt>
            <c:idx val="102"/>
            <c:spPr>
              <a:noFill/>
              <a:ln>
                <a:noFill/>
              </a:ln>
            </c:spPr>
          </c:dPt>
          <c:dLbls>
            <c:numFmt formatCode="#,##0.0" sourceLinked="0"/>
            <c:dLbl>
              <c:idx val="38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9999"/>
                      </a:solidFill>
                      <a:latin typeface="Arial Narrow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0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9999"/>
                      </a:solidFill>
                      <a:latin typeface="Arial Narrow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78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9999"/>
                      </a:solidFill>
                      <a:latin typeface="Arial Narrow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82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9999"/>
                      </a:solidFill>
                      <a:latin typeface="Arial Narrow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86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9999"/>
                      </a:solidFill>
                      <a:latin typeface="Arial Narrow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0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9999"/>
                      </a:solidFill>
                      <a:latin typeface="Arial Narrow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4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9999"/>
                      </a:solidFill>
                      <a:latin typeface="Arial Narrow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8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9999"/>
                      </a:solidFill>
                      <a:latin typeface="Arial Narrow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02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9999"/>
                      </a:solidFill>
                      <a:latin typeface="Arial Narrow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000" spc="-1" strike="noStrike">
                    <a:solidFill>
                      <a:srgbClr val="009999"/>
                    </a:solidFill>
                    <a:latin typeface="Arial Narrow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RCL!$AI$26:$AAA$26</c:f>
              <c:strCache>
                <c:ptCount val="669"/>
                <c:pt idx="0">
                  <c:v>out/11</c:v>
                </c:pt>
                <c:pt idx="1">
                  <c:v>nov/11</c:v>
                </c:pt>
                <c:pt idx="2">
                  <c:v>dez/11</c:v>
                </c:pt>
                <c:pt idx="3">
                  <c:v>jan/12</c:v>
                </c:pt>
                <c:pt idx="4">
                  <c:v>fev/12</c:v>
                </c:pt>
                <c:pt idx="5">
                  <c:v>mar/12</c:v>
                </c:pt>
                <c:pt idx="6">
                  <c:v>abr/12</c:v>
                </c:pt>
                <c:pt idx="7">
                  <c:v>mai/12</c:v>
                </c:pt>
                <c:pt idx="8">
                  <c:v>jun/12</c:v>
                </c:pt>
                <c:pt idx="9">
                  <c:v>jul/12</c:v>
                </c:pt>
                <c:pt idx="10">
                  <c:v>ago/12</c:v>
                </c:pt>
                <c:pt idx="11">
                  <c:v>set/12</c:v>
                </c:pt>
                <c:pt idx="12">
                  <c:v>out/12</c:v>
                </c:pt>
                <c:pt idx="13">
                  <c:v>nov/12</c:v>
                </c:pt>
                <c:pt idx="14">
                  <c:v>dez/12</c:v>
                </c:pt>
                <c:pt idx="15">
                  <c:v>jan/13</c:v>
                </c:pt>
                <c:pt idx="16">
                  <c:v>fev/13</c:v>
                </c:pt>
                <c:pt idx="17">
                  <c:v>mar/13</c:v>
                </c:pt>
                <c:pt idx="18">
                  <c:v>abr/13</c:v>
                </c:pt>
                <c:pt idx="19">
                  <c:v>mai/13</c:v>
                </c:pt>
                <c:pt idx="20">
                  <c:v>jun/13</c:v>
                </c:pt>
                <c:pt idx="21">
                  <c:v>jul/13</c:v>
                </c:pt>
                <c:pt idx="22">
                  <c:v>ago/13</c:v>
                </c:pt>
                <c:pt idx="23">
                  <c:v>set/13</c:v>
                </c:pt>
                <c:pt idx="24">
                  <c:v>out/13</c:v>
                </c:pt>
                <c:pt idx="25">
                  <c:v>nov/13</c:v>
                </c:pt>
                <c:pt idx="26">
                  <c:v>dez/13</c:v>
                </c:pt>
                <c:pt idx="27">
                  <c:v>jan/14</c:v>
                </c:pt>
                <c:pt idx="28">
                  <c:v>fev/14</c:v>
                </c:pt>
                <c:pt idx="29">
                  <c:v>mar/14</c:v>
                </c:pt>
                <c:pt idx="30">
                  <c:v>abr/14</c:v>
                </c:pt>
                <c:pt idx="31">
                  <c:v>mai/14</c:v>
                </c:pt>
                <c:pt idx="32">
                  <c:v>jun/14</c:v>
                </c:pt>
                <c:pt idx="33">
                  <c:v>jul/14</c:v>
                </c:pt>
                <c:pt idx="34">
                  <c:v>ago/14</c:v>
                </c:pt>
                <c:pt idx="35">
                  <c:v>set/14</c:v>
                </c:pt>
                <c:pt idx="36">
                  <c:v>out/14</c:v>
                </c:pt>
                <c:pt idx="37">
                  <c:v>nov/14</c:v>
                </c:pt>
                <c:pt idx="38">
                  <c:v>dez/14</c:v>
                </c:pt>
                <c:pt idx="39">
                  <c:v>jan/15</c:v>
                </c:pt>
                <c:pt idx="40">
                  <c:v>fev/15</c:v>
                </c:pt>
                <c:pt idx="41">
                  <c:v>mar/15</c:v>
                </c:pt>
                <c:pt idx="42">
                  <c:v>abr/15</c:v>
                </c:pt>
                <c:pt idx="43">
                  <c:v>mai/15</c:v>
                </c:pt>
                <c:pt idx="44">
                  <c:v>jun/15</c:v>
                </c:pt>
                <c:pt idx="45">
                  <c:v>jul/15</c:v>
                </c:pt>
                <c:pt idx="46">
                  <c:v>ago/15</c:v>
                </c:pt>
                <c:pt idx="47">
                  <c:v>set/15</c:v>
                </c:pt>
                <c:pt idx="48">
                  <c:v>out/15</c:v>
                </c:pt>
                <c:pt idx="49">
                  <c:v>nov/15</c:v>
                </c:pt>
                <c:pt idx="50">
                  <c:v>dez/15</c:v>
                </c:pt>
                <c:pt idx="51">
                  <c:v>jan/16</c:v>
                </c:pt>
                <c:pt idx="52">
                  <c:v>fev/16</c:v>
                </c:pt>
                <c:pt idx="53">
                  <c:v>mar/16</c:v>
                </c:pt>
                <c:pt idx="54">
                  <c:v>abr/16</c:v>
                </c:pt>
                <c:pt idx="55">
                  <c:v>mai/16</c:v>
                </c:pt>
                <c:pt idx="56">
                  <c:v>jun/16</c:v>
                </c:pt>
                <c:pt idx="57">
                  <c:v>jul/16</c:v>
                </c:pt>
                <c:pt idx="58">
                  <c:v>ago/16</c:v>
                </c:pt>
                <c:pt idx="59">
                  <c:v>set/16</c:v>
                </c:pt>
                <c:pt idx="60">
                  <c:v>out/16</c:v>
                </c:pt>
                <c:pt idx="61">
                  <c:v>nov/16</c:v>
                </c:pt>
                <c:pt idx="62">
                  <c:v>dez/16</c:v>
                </c:pt>
                <c:pt idx="63">
                  <c:v>jan/17</c:v>
                </c:pt>
                <c:pt idx="64">
                  <c:v>fev/17</c:v>
                </c:pt>
                <c:pt idx="65">
                  <c:v>mar/17</c:v>
                </c:pt>
                <c:pt idx="66">
                  <c:v>abr/17</c:v>
                </c:pt>
                <c:pt idx="67">
                  <c:v>mai/17</c:v>
                </c:pt>
                <c:pt idx="68">
                  <c:v>jun/17</c:v>
                </c:pt>
                <c:pt idx="69">
                  <c:v>jul/17</c:v>
                </c:pt>
                <c:pt idx="70">
                  <c:v>ago/17</c:v>
                </c:pt>
                <c:pt idx="71">
                  <c:v>set/17</c:v>
                </c:pt>
                <c:pt idx="72">
                  <c:v>out/17</c:v>
                </c:pt>
                <c:pt idx="73">
                  <c:v>nov/17</c:v>
                </c:pt>
                <c:pt idx="74">
                  <c:v>dez/17</c:v>
                </c:pt>
                <c:pt idx="75">
                  <c:v>jan/18</c:v>
                </c:pt>
                <c:pt idx="76">
                  <c:v>fev/18</c:v>
                </c:pt>
                <c:pt idx="77">
                  <c:v>mar/18</c:v>
                </c:pt>
                <c:pt idx="78">
                  <c:v>abr/18</c:v>
                </c:pt>
                <c:pt idx="79">
                  <c:v>mai/18</c:v>
                </c:pt>
                <c:pt idx="80">
                  <c:v>jun/18</c:v>
                </c:pt>
                <c:pt idx="81">
                  <c:v>jul/18</c:v>
                </c:pt>
                <c:pt idx="82">
                  <c:v>ago/18</c:v>
                </c:pt>
                <c:pt idx="83">
                  <c:v>set/18</c:v>
                </c:pt>
                <c:pt idx="84">
                  <c:v>out/18</c:v>
                </c:pt>
                <c:pt idx="85">
                  <c:v>nov/18</c:v>
                </c:pt>
                <c:pt idx="86">
                  <c:v>dez/18</c:v>
                </c:pt>
                <c:pt idx="87">
                  <c:v>jan/19</c:v>
                </c:pt>
                <c:pt idx="88">
                  <c:v>fev/19</c:v>
                </c:pt>
                <c:pt idx="89">
                  <c:v>mar/19</c:v>
                </c:pt>
                <c:pt idx="90">
                  <c:v>abr/19</c:v>
                </c:pt>
                <c:pt idx="91">
                  <c:v>mai/19</c:v>
                </c:pt>
                <c:pt idx="92">
                  <c:v>jun/19</c:v>
                </c:pt>
                <c:pt idx="93">
                  <c:v>jul/19</c:v>
                </c:pt>
                <c:pt idx="94">
                  <c:v>ago/19</c:v>
                </c:pt>
                <c:pt idx="95">
                  <c:v>set/19</c:v>
                </c:pt>
                <c:pt idx="96">
                  <c:v>out/19</c:v>
                </c:pt>
                <c:pt idx="97">
                  <c:v>nov/19</c:v>
                </c:pt>
                <c:pt idx="98">
                  <c:v>dez/19</c:v>
                </c:pt>
                <c:pt idx="99">
                  <c:v>jan/20</c:v>
                </c:pt>
                <c:pt idx="100">
                  <c:v>fev/20</c:v>
                </c:pt>
                <c:pt idx="101">
                  <c:v>mar/20</c:v>
                </c:pt>
                <c:pt idx="102">
                  <c:v>abr/20</c:v>
                </c:pt>
                <c:pt idx="103">
                  <c:v>mai/20</c:v>
                </c:pt>
                <c:pt idx="104">
                  <c:v>jun/20</c:v>
                </c:pt>
                <c:pt idx="105">
                  <c:v>jul/20</c:v>
                </c:pt>
                <c:pt idx="106">
                  <c:v>ago/20</c:v>
                </c:pt>
                <c:pt idx="107">
                  <c:v>set/20</c:v>
                </c:pt>
                <c:pt idx="108">
                  <c:v>out/20</c:v>
                </c:pt>
                <c:pt idx="109">
                  <c:v>nov/20</c:v>
                </c:pt>
                <c:pt idx="110">
                  <c:v>dez/20</c:v>
                </c:pt>
                <c:pt idx="111">
                  <c:v>jan/21</c:v>
                </c:pt>
                <c:pt idx="112">
                  <c:v>fev/21</c:v>
                </c:pt>
                <c:pt idx="113">
                  <c:v>mar/21</c:v>
                </c:pt>
                <c:pt idx="114">
                  <c:v>abr/21</c:v>
                </c:pt>
                <c:pt idx="115">
                  <c:v>mai/21</c:v>
                </c:pt>
                <c:pt idx="116">
                  <c:v>jun/21</c:v>
                </c:pt>
                <c:pt idx="117">
                  <c:v>jul/21</c:v>
                </c:pt>
                <c:pt idx="118">
                  <c:v>ago/21</c:v>
                </c:pt>
                <c:pt idx="119">
                  <c:v>01/09/2021</c:v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</c:strCache>
            </c:strRef>
          </c:cat>
          <c:val>
            <c:numRef>
              <c:f>RCL!$AI$27:$AAA$27</c:f>
              <c:numCache>
                <c:formatCode>General</c:formatCode>
                <c:ptCount val="669"/>
                <c:pt idx="0">
                  <c:v/>
                </c:pt>
                <c:pt idx="1">
                  <c:v/>
                </c:pt>
                <c:pt idx="2">
                  <c:v>558706386600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581850483280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600187794660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616933348520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621158840250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625461566520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656094217900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678292443260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>676655839900</c:v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641578197330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642507277656.93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>656857642623.16</c:v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674522742049.7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697243153828.91</c:v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687788905643.78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709929574506.58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718531431018.81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730531081798.36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727254324382.05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743632072331.91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>770352095045.15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>805348403466.57</c:v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818616620128.93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829157292075.07</c:v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905658589594.29</c:v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>879152902004.53</c:v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RCL!$L$28</c:f>
              <c:strCache>
                <c:ptCount val="1"/>
                <c:pt idx="0">
                  <c:v>RCL Quadr</c:v>
                </c:pt>
              </c:strCache>
            </c:strRef>
          </c:tx>
          <c:spPr>
            <a:noFill/>
            <a:ln w="19080">
              <a:solidFill>
                <a:srgbClr val="ed7d31"/>
              </a:solidFill>
              <a:round/>
            </a:ln>
          </c:spPr>
          <c:marker>
            <c:symbol val="none"/>
            <c:size val="9"/>
          </c:marker>
          <c:dPt>
            <c:idx val="106"/>
            <c:spPr>
              <a:noFill/>
              <a:ln w="19080">
                <a:solidFill>
                  <a:srgbClr val="ed7d31"/>
                </a:solidFill>
                <a:round/>
              </a:ln>
            </c:spPr>
          </c:dPt>
          <c:dPt>
            <c:idx val="110"/>
            <c:spPr>
              <a:noFill/>
              <a:ln w="19080">
                <a:solidFill>
                  <a:srgbClr val="ed7d31"/>
                </a:solidFill>
                <a:round/>
              </a:ln>
            </c:spPr>
          </c:dPt>
          <c:dPt>
            <c:idx val="114"/>
            <c:spPr>
              <a:noFill/>
              <a:ln w="19080">
                <a:solidFill>
                  <a:srgbClr val="ed7d31"/>
                </a:solidFill>
                <a:round/>
              </a:ln>
            </c:spPr>
          </c:dPt>
          <c:dPt>
            <c:idx val="116"/>
            <c:spPr>
              <a:noFill/>
              <a:ln w="19080">
                <a:solidFill>
                  <a:srgbClr val="ed7d31"/>
                </a:solidFill>
                <a:round/>
              </a:ln>
            </c:spPr>
          </c:dPt>
          <c:dPt>
            <c:idx val="117"/>
            <c:spPr>
              <a:noFill/>
              <a:ln w="19080">
                <a:solidFill>
                  <a:srgbClr val="ed7d31"/>
                </a:solidFill>
                <a:round/>
              </a:ln>
            </c:spPr>
          </c:dPt>
          <c:dPt>
            <c:idx val="119"/>
            <c:spPr>
              <a:noFill/>
              <a:ln w="19080">
                <a:solidFill>
                  <a:srgbClr val="ed7d31"/>
                </a:solidFill>
                <a:round/>
              </a:ln>
            </c:spPr>
          </c:dPt>
          <c:dLbls>
            <c:numFmt formatCode="#,##0.0" sourceLinked="0"/>
            <c:dLbl>
              <c:idx val="106"/>
              <c:txPr>
                <a:bodyPr/>
                <a:lstStyle/>
                <a:p>
                  <a:pPr>
                    <a:defRPr b="1" lang="pt-BR" sz="1000" spc="-1" strike="noStrike">
                      <a:solidFill>
                        <a:srgbClr val="00b0f0"/>
                      </a:solidFill>
                      <a:latin typeface="Arial Narrow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0"/>
              <c:txPr>
                <a:bodyPr/>
                <a:lstStyle/>
                <a:p>
                  <a:pPr>
                    <a:defRPr b="1" lang="pt-BR" sz="1000" spc="-1" strike="noStrike">
                      <a:solidFill>
                        <a:srgbClr val="00b0f0"/>
                      </a:solidFill>
                      <a:latin typeface="Arial Narrow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4"/>
              <c:txPr>
                <a:bodyPr/>
                <a:lstStyle/>
                <a:p>
                  <a:pPr>
                    <a:defRPr b="1" lang="pt-BR" sz="1000" spc="-1" strike="noStrike">
                      <a:solidFill>
                        <a:srgbClr val="00b0f0"/>
                      </a:solidFill>
                      <a:latin typeface="Arial Narrow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6"/>
              <c:txPr>
                <a:bodyPr/>
                <a:lstStyle/>
                <a:p>
                  <a:pPr>
                    <a:defRPr b="1" lang="pt-BR" sz="1000" spc="-1" strike="noStrike">
                      <a:solidFill>
                        <a:srgbClr val="00b0f0"/>
                      </a:solidFill>
                      <a:latin typeface="Arial Narrow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7"/>
              <c:txPr>
                <a:bodyPr/>
                <a:lstStyle/>
                <a:p>
                  <a:pPr>
                    <a:defRPr b="1" lang="pt-BR" sz="1000" spc="-1" strike="noStrike">
                      <a:solidFill>
                        <a:srgbClr val="00b0f0"/>
                      </a:solidFill>
                      <a:latin typeface="Arial Narrow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9"/>
              <c:txPr>
                <a:bodyPr/>
                <a:lstStyle/>
                <a:p>
                  <a:pPr>
                    <a:defRPr b="1" lang="pt-BR" sz="1000" spc="-1" strike="noStrike">
                      <a:solidFill>
                        <a:srgbClr val="00b0f0"/>
                      </a:solidFill>
                      <a:latin typeface="Arial Narrow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lang="pt-BR" sz="1000" spc="-1" strike="noStrike">
                    <a:solidFill>
                      <a:srgbClr val="00b0f0"/>
                    </a:solidFill>
                    <a:latin typeface="Arial Narrow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RCL!$AI$26:$AAA$26</c:f>
              <c:strCache>
                <c:ptCount val="669"/>
                <c:pt idx="0">
                  <c:v>out/11</c:v>
                </c:pt>
                <c:pt idx="1">
                  <c:v>nov/11</c:v>
                </c:pt>
                <c:pt idx="2">
                  <c:v>dez/11</c:v>
                </c:pt>
                <c:pt idx="3">
                  <c:v>jan/12</c:v>
                </c:pt>
                <c:pt idx="4">
                  <c:v>fev/12</c:v>
                </c:pt>
                <c:pt idx="5">
                  <c:v>mar/12</c:v>
                </c:pt>
                <c:pt idx="6">
                  <c:v>abr/12</c:v>
                </c:pt>
                <c:pt idx="7">
                  <c:v>mai/12</c:v>
                </c:pt>
                <c:pt idx="8">
                  <c:v>jun/12</c:v>
                </c:pt>
                <c:pt idx="9">
                  <c:v>jul/12</c:v>
                </c:pt>
                <c:pt idx="10">
                  <c:v>ago/12</c:v>
                </c:pt>
                <c:pt idx="11">
                  <c:v>set/12</c:v>
                </c:pt>
                <c:pt idx="12">
                  <c:v>out/12</c:v>
                </c:pt>
                <c:pt idx="13">
                  <c:v>nov/12</c:v>
                </c:pt>
                <c:pt idx="14">
                  <c:v>dez/12</c:v>
                </c:pt>
                <c:pt idx="15">
                  <c:v>jan/13</c:v>
                </c:pt>
                <c:pt idx="16">
                  <c:v>fev/13</c:v>
                </c:pt>
                <c:pt idx="17">
                  <c:v>mar/13</c:v>
                </c:pt>
                <c:pt idx="18">
                  <c:v>abr/13</c:v>
                </c:pt>
                <c:pt idx="19">
                  <c:v>mai/13</c:v>
                </c:pt>
                <c:pt idx="20">
                  <c:v>jun/13</c:v>
                </c:pt>
                <c:pt idx="21">
                  <c:v>jul/13</c:v>
                </c:pt>
                <c:pt idx="22">
                  <c:v>ago/13</c:v>
                </c:pt>
                <c:pt idx="23">
                  <c:v>set/13</c:v>
                </c:pt>
                <c:pt idx="24">
                  <c:v>out/13</c:v>
                </c:pt>
                <c:pt idx="25">
                  <c:v>nov/13</c:v>
                </c:pt>
                <c:pt idx="26">
                  <c:v>dez/13</c:v>
                </c:pt>
                <c:pt idx="27">
                  <c:v>jan/14</c:v>
                </c:pt>
                <c:pt idx="28">
                  <c:v>fev/14</c:v>
                </c:pt>
                <c:pt idx="29">
                  <c:v>mar/14</c:v>
                </c:pt>
                <c:pt idx="30">
                  <c:v>abr/14</c:v>
                </c:pt>
                <c:pt idx="31">
                  <c:v>mai/14</c:v>
                </c:pt>
                <c:pt idx="32">
                  <c:v>jun/14</c:v>
                </c:pt>
                <c:pt idx="33">
                  <c:v>jul/14</c:v>
                </c:pt>
                <c:pt idx="34">
                  <c:v>ago/14</c:v>
                </c:pt>
                <c:pt idx="35">
                  <c:v>set/14</c:v>
                </c:pt>
                <c:pt idx="36">
                  <c:v>out/14</c:v>
                </c:pt>
                <c:pt idx="37">
                  <c:v>nov/14</c:v>
                </c:pt>
                <c:pt idx="38">
                  <c:v>dez/14</c:v>
                </c:pt>
                <c:pt idx="39">
                  <c:v>jan/15</c:v>
                </c:pt>
                <c:pt idx="40">
                  <c:v>fev/15</c:v>
                </c:pt>
                <c:pt idx="41">
                  <c:v>mar/15</c:v>
                </c:pt>
                <c:pt idx="42">
                  <c:v>abr/15</c:v>
                </c:pt>
                <c:pt idx="43">
                  <c:v>mai/15</c:v>
                </c:pt>
                <c:pt idx="44">
                  <c:v>jun/15</c:v>
                </c:pt>
                <c:pt idx="45">
                  <c:v>jul/15</c:v>
                </c:pt>
                <c:pt idx="46">
                  <c:v>ago/15</c:v>
                </c:pt>
                <c:pt idx="47">
                  <c:v>set/15</c:v>
                </c:pt>
                <c:pt idx="48">
                  <c:v>out/15</c:v>
                </c:pt>
                <c:pt idx="49">
                  <c:v>nov/15</c:v>
                </c:pt>
                <c:pt idx="50">
                  <c:v>dez/15</c:v>
                </c:pt>
                <c:pt idx="51">
                  <c:v>jan/16</c:v>
                </c:pt>
                <c:pt idx="52">
                  <c:v>fev/16</c:v>
                </c:pt>
                <c:pt idx="53">
                  <c:v>mar/16</c:v>
                </c:pt>
                <c:pt idx="54">
                  <c:v>abr/16</c:v>
                </c:pt>
                <c:pt idx="55">
                  <c:v>mai/16</c:v>
                </c:pt>
                <c:pt idx="56">
                  <c:v>jun/16</c:v>
                </c:pt>
                <c:pt idx="57">
                  <c:v>jul/16</c:v>
                </c:pt>
                <c:pt idx="58">
                  <c:v>ago/16</c:v>
                </c:pt>
                <c:pt idx="59">
                  <c:v>set/16</c:v>
                </c:pt>
                <c:pt idx="60">
                  <c:v>out/16</c:v>
                </c:pt>
                <c:pt idx="61">
                  <c:v>nov/16</c:v>
                </c:pt>
                <c:pt idx="62">
                  <c:v>dez/16</c:v>
                </c:pt>
                <c:pt idx="63">
                  <c:v>jan/17</c:v>
                </c:pt>
                <c:pt idx="64">
                  <c:v>fev/17</c:v>
                </c:pt>
                <c:pt idx="65">
                  <c:v>mar/17</c:v>
                </c:pt>
                <c:pt idx="66">
                  <c:v>abr/17</c:v>
                </c:pt>
                <c:pt idx="67">
                  <c:v>mai/17</c:v>
                </c:pt>
                <c:pt idx="68">
                  <c:v>jun/17</c:v>
                </c:pt>
                <c:pt idx="69">
                  <c:v>jul/17</c:v>
                </c:pt>
                <c:pt idx="70">
                  <c:v>ago/17</c:v>
                </c:pt>
                <c:pt idx="71">
                  <c:v>set/17</c:v>
                </c:pt>
                <c:pt idx="72">
                  <c:v>out/17</c:v>
                </c:pt>
                <c:pt idx="73">
                  <c:v>nov/17</c:v>
                </c:pt>
                <c:pt idx="74">
                  <c:v>dez/17</c:v>
                </c:pt>
                <c:pt idx="75">
                  <c:v>jan/18</c:v>
                </c:pt>
                <c:pt idx="76">
                  <c:v>fev/18</c:v>
                </c:pt>
                <c:pt idx="77">
                  <c:v>mar/18</c:v>
                </c:pt>
                <c:pt idx="78">
                  <c:v>abr/18</c:v>
                </c:pt>
                <c:pt idx="79">
                  <c:v>mai/18</c:v>
                </c:pt>
                <c:pt idx="80">
                  <c:v>jun/18</c:v>
                </c:pt>
                <c:pt idx="81">
                  <c:v>jul/18</c:v>
                </c:pt>
                <c:pt idx="82">
                  <c:v>ago/18</c:v>
                </c:pt>
                <c:pt idx="83">
                  <c:v>set/18</c:v>
                </c:pt>
                <c:pt idx="84">
                  <c:v>out/18</c:v>
                </c:pt>
                <c:pt idx="85">
                  <c:v>nov/18</c:v>
                </c:pt>
                <c:pt idx="86">
                  <c:v>dez/18</c:v>
                </c:pt>
                <c:pt idx="87">
                  <c:v>jan/19</c:v>
                </c:pt>
                <c:pt idx="88">
                  <c:v>fev/19</c:v>
                </c:pt>
                <c:pt idx="89">
                  <c:v>mar/19</c:v>
                </c:pt>
                <c:pt idx="90">
                  <c:v>abr/19</c:v>
                </c:pt>
                <c:pt idx="91">
                  <c:v>mai/19</c:v>
                </c:pt>
                <c:pt idx="92">
                  <c:v>jun/19</c:v>
                </c:pt>
                <c:pt idx="93">
                  <c:v>jul/19</c:v>
                </c:pt>
                <c:pt idx="94">
                  <c:v>ago/19</c:v>
                </c:pt>
                <c:pt idx="95">
                  <c:v>set/19</c:v>
                </c:pt>
                <c:pt idx="96">
                  <c:v>out/19</c:v>
                </c:pt>
                <c:pt idx="97">
                  <c:v>nov/19</c:v>
                </c:pt>
                <c:pt idx="98">
                  <c:v>dez/19</c:v>
                </c:pt>
                <c:pt idx="99">
                  <c:v>jan/20</c:v>
                </c:pt>
                <c:pt idx="100">
                  <c:v>fev/20</c:v>
                </c:pt>
                <c:pt idx="101">
                  <c:v>mar/20</c:v>
                </c:pt>
                <c:pt idx="102">
                  <c:v>abr/20</c:v>
                </c:pt>
                <c:pt idx="103">
                  <c:v>mai/20</c:v>
                </c:pt>
                <c:pt idx="104">
                  <c:v>jun/20</c:v>
                </c:pt>
                <c:pt idx="105">
                  <c:v>jul/20</c:v>
                </c:pt>
                <c:pt idx="106">
                  <c:v>ago/20</c:v>
                </c:pt>
                <c:pt idx="107">
                  <c:v>set/20</c:v>
                </c:pt>
                <c:pt idx="108">
                  <c:v>out/20</c:v>
                </c:pt>
                <c:pt idx="109">
                  <c:v>nov/20</c:v>
                </c:pt>
                <c:pt idx="110">
                  <c:v>dez/20</c:v>
                </c:pt>
                <c:pt idx="111">
                  <c:v>jan/21</c:v>
                </c:pt>
                <c:pt idx="112">
                  <c:v>fev/21</c:v>
                </c:pt>
                <c:pt idx="113">
                  <c:v>mar/21</c:v>
                </c:pt>
                <c:pt idx="114">
                  <c:v>abr/21</c:v>
                </c:pt>
                <c:pt idx="115">
                  <c:v>mai/21</c:v>
                </c:pt>
                <c:pt idx="116">
                  <c:v>jun/21</c:v>
                </c:pt>
                <c:pt idx="117">
                  <c:v>jul/21</c:v>
                </c:pt>
                <c:pt idx="118">
                  <c:v>ago/21</c:v>
                </c:pt>
                <c:pt idx="119">
                  <c:v>01/09/2021</c:v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</c:strCache>
            </c:strRef>
          </c:cat>
          <c:val>
            <c:numRef>
              <c:f>RCL!$AI$28:$AAA$28</c:f>
              <c:numCache>
                <c:formatCode>General</c:formatCode>
                <c:ptCount val="669"/>
                <c:pt idx="0">
                  <c:v>560898744770</c:v>
                </c:pt>
                <c:pt idx="1">
                  <c:v>561010042890</c:v>
                </c:pt>
                <c:pt idx="2">
                  <c:v/>
                </c:pt>
                <c:pt idx="3">
                  <c:v>572686423130</c:v>
                </c:pt>
                <c:pt idx="4">
                  <c:v>581874803950</c:v>
                </c:pt>
                <c:pt idx="5">
                  <c:v>578126233280</c:v>
                </c:pt>
                <c:pt idx="6">
                  <c:v/>
                </c:pt>
                <c:pt idx="7">
                  <c:v>581448742990</c:v>
                </c:pt>
                <c:pt idx="8">
                  <c:v>581212664840</c:v>
                </c:pt>
                <c:pt idx="9">
                  <c:v>595942496790</c:v>
                </c:pt>
                <c:pt idx="10">
                  <c:v/>
                </c:pt>
                <c:pt idx="11">
                  <c:v>601542625320</c:v>
                </c:pt>
                <c:pt idx="12">
                  <c:v>606227873000</c:v>
                </c:pt>
                <c:pt idx="13">
                  <c:v>605995749880</c:v>
                </c:pt>
                <c:pt idx="14">
                  <c:v/>
                </c:pt>
                <c:pt idx="15">
                  <c:v>625290407180</c:v>
                </c:pt>
                <c:pt idx="16">
                  <c:v>615364719100</c:v>
                </c:pt>
                <c:pt idx="17">
                  <c:v>610572987500</c:v>
                </c:pt>
                <c:pt idx="18">
                  <c:v/>
                </c:pt>
                <c:pt idx="19">
                  <c:v>627565683430</c:v>
                </c:pt>
                <c:pt idx="20">
                  <c:v>633920234100</c:v>
                </c:pt>
                <c:pt idx="21">
                  <c:v>623321002930</c:v>
                </c:pt>
                <c:pt idx="22">
                  <c:v/>
                </c:pt>
                <c:pt idx="23">
                  <c:v>626794758550</c:v>
                </c:pt>
                <c:pt idx="24">
                  <c:v>630576168910</c:v>
                </c:pt>
                <c:pt idx="25">
                  <c:v>650280970720</c:v>
                </c:pt>
                <c:pt idx="26">
                  <c:v/>
                </c:pt>
                <c:pt idx="27">
                  <c:v>664302538860</c:v>
                </c:pt>
                <c:pt idx="28">
                  <c:v>671161346730</c:v>
                </c:pt>
                <c:pt idx="29">
                  <c:v>680579569340</c:v>
                </c:pt>
                <c:pt idx="30">
                  <c:v/>
                </c:pt>
                <c:pt idx="31">
                  <c:v>674078866900</c:v>
                </c:pt>
                <c:pt idx="32">
                  <c:v>673848828070</c:v>
                </c:pt>
                <c:pt idx="33">
                  <c:v>672076723370</c:v>
                </c:pt>
                <c:pt idx="34">
                  <c:v/>
                </c:pt>
                <c:pt idx="35">
                  <c:v>674487506670</c:v>
                </c:pt>
                <c:pt idx="36">
                  <c:v>674306980130</c:v>
                </c:pt>
                <c:pt idx="37">
                  <c:v>661618800010</c:v>
                </c:pt>
                <c:pt idx="38">
                  <c:v/>
                </c:pt>
                <c:pt idx="39">
                  <c:v>638747066926.32</c:v>
                </c:pt>
                <c:pt idx="40">
                  <c:v>640327249269.81</c:v>
                </c:pt>
                <c:pt idx="41">
                  <c:v>643351950487.61</c:v>
                </c:pt>
                <c:pt idx="42">
                  <c:v/>
                </c:pt>
                <c:pt idx="43">
                  <c:v>651105707539.95</c:v>
                </c:pt>
                <c:pt idx="44">
                  <c:v>653077026820.34</c:v>
                </c:pt>
                <c:pt idx="45">
                  <c:v>657163414037.14</c:v>
                </c:pt>
                <c:pt idx="46">
                  <c:v/>
                </c:pt>
                <c:pt idx="47">
                  <c:v>663634527735.49</c:v>
                </c:pt>
                <c:pt idx="48">
                  <c:v>663593321583.47</c:v>
                </c:pt>
                <c:pt idx="49">
                  <c:v>662084375953.68</c:v>
                </c:pt>
                <c:pt idx="50">
                  <c:v/>
                </c:pt>
                <c:pt idx="51">
                  <c:v>693234369781.24</c:v>
                </c:pt>
                <c:pt idx="52">
                  <c:v>692204807293.67</c:v>
                </c:pt>
                <c:pt idx="53">
                  <c:v>693683802117.94</c:v>
                </c:pt>
                <c:pt idx="54">
                  <c:v/>
                </c:pt>
                <c:pt idx="55">
                  <c:v>689667753164.94</c:v>
                </c:pt>
                <c:pt idx="56">
                  <c:v>690361936973.11</c:v>
                </c:pt>
                <c:pt idx="57">
                  <c:v>691546151921.13</c:v>
                </c:pt>
                <c:pt idx="58">
                  <c:v/>
                </c:pt>
                <c:pt idx="59">
                  <c:v>683134252347.87</c:v>
                </c:pt>
                <c:pt idx="60">
                  <c:v>725265345497.51</c:v>
                </c:pt>
                <c:pt idx="61">
                  <c:v>722278652178.61</c:v>
                </c:pt>
                <c:pt idx="62">
                  <c:v/>
                </c:pt>
                <c:pt idx="63">
                  <c:v>715063804886.95</c:v>
                </c:pt>
                <c:pt idx="64">
                  <c:v>714985428563.24</c:v>
                </c:pt>
                <c:pt idx="65">
                  <c:v>715287678137.71</c:v>
                </c:pt>
                <c:pt idx="66">
                  <c:v/>
                </c:pt>
                <c:pt idx="67">
                  <c:v>720653415310.26</c:v>
                </c:pt>
                <c:pt idx="68">
                  <c:v>723241295616.01</c:v>
                </c:pt>
                <c:pt idx="69">
                  <c:v>720289328583.77</c:v>
                </c:pt>
                <c:pt idx="70">
                  <c:v/>
                </c:pt>
                <c:pt idx="71">
                  <c:v>738360746916.24</c:v>
                </c:pt>
                <c:pt idx="72">
                  <c:v>705607666145.77</c:v>
                </c:pt>
                <c:pt idx="73">
                  <c:v>730386417447.33</c:v>
                </c:pt>
                <c:pt idx="74">
                  <c:v/>
                </c:pt>
                <c:pt idx="75">
                  <c:v>730408423191.12</c:v>
                </c:pt>
                <c:pt idx="76">
                  <c:v>736510477809.51</c:v>
                </c:pt>
                <c:pt idx="77">
                  <c:v>733215442669.78</c:v>
                </c:pt>
                <c:pt idx="78">
                  <c:v/>
                </c:pt>
                <c:pt idx="79">
                  <c:v>757394890844.97</c:v>
                </c:pt>
                <c:pt idx="80">
                  <c:v>756122758348.9</c:v>
                </c:pt>
                <c:pt idx="81">
                  <c:v>769583573894.83</c:v>
                </c:pt>
                <c:pt idx="82">
                  <c:v/>
                </c:pt>
                <c:pt idx="83">
                  <c:v>776553924465.27</c:v>
                </c:pt>
                <c:pt idx="84">
                  <c:v>785208777464.16</c:v>
                </c:pt>
                <c:pt idx="85">
                  <c:v>780421394691.16</c:v>
                </c:pt>
                <c:pt idx="86">
                  <c:v/>
                </c:pt>
                <c:pt idx="87">
                  <c:v>801963074242.02</c:v>
                </c:pt>
                <c:pt idx="88">
                  <c:v>809268273586.65</c:v>
                </c:pt>
                <c:pt idx="89">
                  <c:v>815511916469.15</c:v>
                </c:pt>
                <c:pt idx="90">
                  <c:v/>
                </c:pt>
                <c:pt idx="91">
                  <c:v>816956586024.51</c:v>
                </c:pt>
                <c:pt idx="92">
                  <c:v>821147239599.62</c:v>
                </c:pt>
                <c:pt idx="93">
                  <c:v>828506726849.09</c:v>
                </c:pt>
                <c:pt idx="94">
                  <c:v/>
                </c:pt>
                <c:pt idx="95">
                  <c:v>833865270327.35</c:v>
                </c:pt>
                <c:pt idx="96">
                  <c:v>838188618638.23</c:v>
                </c:pt>
                <c:pt idx="97">
                  <c:v>840755831057.75</c:v>
                </c:pt>
                <c:pt idx="98">
                  <c:v/>
                </c:pt>
                <c:pt idx="99">
                  <c:v>920195885577.67</c:v>
                </c:pt>
                <c:pt idx="100">
                  <c:v>916004723928.34</c:v>
                </c:pt>
                <c:pt idx="101">
                  <c:v>908291786183.61</c:v>
                </c:pt>
                <c:pt idx="102">
                  <c:v/>
                </c:pt>
                <c:pt idx="103">
                  <c:v>852065904282.06</c:v>
                </c:pt>
                <c:pt idx="104">
                  <c:v>826522886348.65</c:v>
                </c:pt>
                <c:pt idx="105">
                  <c:v>783036889559.28</c:v>
                </c:pt>
                <c:pt idx="106">
                  <c:v>765111520022.84</c:v>
                </c:pt>
                <c:pt idx="107">
                  <c:v>745354811454.1</c:v>
                </c:pt>
                <c:pt idx="108">
                  <c:v>744982205773.73</c:v>
                </c:pt>
                <c:pt idx="109">
                  <c:v>745458671407.73</c:v>
                </c:pt>
                <c:pt idx="110">
                  <c:v>651943266031.15</c:v>
                </c:pt>
                <c:pt idx="111">
                  <c:v>683651687965.2</c:v>
                </c:pt>
                <c:pt idx="112">
                  <c:v>694602185498.66</c:v>
                </c:pt>
                <c:pt idx="113">
                  <c:v>719391932795.74</c:v>
                </c:pt>
                <c:pt idx="114">
                  <c:v>763023603538.79</c:v>
                </c:pt>
                <c:pt idx="115">
                  <c:v>813766848581.43</c:v>
                </c:pt>
                <c:pt idx="116">
                  <c:v>846895188520.37</c:v>
                </c:pt>
                <c:pt idx="117">
                  <c:v>905353324081.82</c:v>
                </c:pt>
                <c:pt idx="118">
                  <c:v>938730994036.87</c:v>
                </c:pt>
                <c:pt idx="119">
                  <c:v>971363203328.77</c:v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axId val="15105227"/>
        <c:axId val="44801812"/>
      </c:lineChart>
      <c:catAx>
        <c:axId val="15105227"/>
        <c:scaling>
          <c:orientation val="minMax"/>
          <c:max val="44440"/>
          <c:min val="41244"/>
        </c:scaling>
        <c:delete val="0"/>
        <c:axPos val="b"/>
        <c:numFmt formatCode="MMM/YY" sourceLinked="1"/>
        <c:majorTickMark val="cross"/>
        <c:minorTickMark val="in"/>
        <c:tickLblPos val="low"/>
        <c:spPr>
          <a:ln w="936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a6a6a6"/>
                </a:solidFill>
                <a:latin typeface="Arial Narrow"/>
              </a:defRPr>
            </a:pPr>
          </a:p>
        </c:txPr>
        <c:crossAx val="44801812"/>
        <c:crossesAt val="0"/>
        <c:auto val="1"/>
        <c:lblAlgn val="ctr"/>
        <c:lblOffset val="100"/>
        <c:majorUnit val="2"/>
      </c:catAx>
      <c:valAx>
        <c:axId val="44801812"/>
        <c:scaling>
          <c:min val="500000000000.000000"/>
          <c:orientation val="minMax"/>
        </c:scaling>
        <c:delete val="0"/>
        <c:axPos val="l"/>
        <c:numFmt formatCode="#,##0" sourceLinked="0"/>
        <c:majorTickMark val="none"/>
        <c:minorTickMark val="in"/>
        <c:tickLblPos val="high"/>
        <c:spPr>
          <a:ln w="936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a6a6a6"/>
                </a:solidFill>
                <a:latin typeface="Arial Narrow"/>
              </a:defRPr>
            </a:pPr>
          </a:p>
        </c:txPr>
        <c:crossAx val="15105227"/>
        <c:crosses val="min"/>
        <c:crossBetween val="midCat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0"/>
              </c:strCache>
            </c:strRef>
          </c:cat>
          <c:val>
            <c:numRef>
              <c:f>'Educação_-_Gráficos'!$T$84:$T$95</c:f>
              <c:numCache>
                <c:formatCode>General</c:formatCode>
                <c:ptCount val="12"/>
                <c:pt idx="0">
                  <c:v>4196743470.708</c:v>
                </c:pt>
                <c:pt idx="1">
                  <c:v>4114905309.11</c:v>
                </c:pt>
                <c:pt idx="2">
                  <c:v>4539456375.86</c:v>
                </c:pt>
                <c:pt idx="3">
                  <c:v>4827243909.70469</c:v>
                </c:pt>
                <c:pt idx="4">
                  <c:v>3729479024.18161</c:v>
                </c:pt>
                <c:pt idx="5">
                  <c:v>4478136535.8113</c:v>
                </c:pt>
                <c:pt idx="6">
                  <c:v>3602282533.5567</c:v>
                </c:pt>
                <c:pt idx="7">
                  <c:v>3147368841.0677</c:v>
                </c:pt>
                <c:pt idx="8">
                  <c:v>11875814511.8476</c:v>
                </c:pt>
                <c:pt idx="9">
                  <c:v>-25219505370.3227</c:v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96"/>
        <c:overlap val="0"/>
        <c:axId val="74168507"/>
        <c:axId val="96043007"/>
      </c:barChart>
      <c:lineChart>
        <c:marker val="0"/>
        <c:grouping val="standard"/>
        <c:varyColors val="0"/>
        <c:ser>
          <c:idx val="1"/>
          <c:order val="1"/>
          <c:spPr>
            <a:noFill/>
            <a:ln w="19080">
              <a:solidFill>
                <a:srgbClr val="5b9bd5"/>
              </a:solidFill>
              <a:custDash/>
              <a:round/>
            </a:ln>
          </c:spPr>
          <c:marker>
            <c:symbol val="none"/>
            <c:size val="9"/>
          </c:marker>
          <c:dPt>
            <c:idx val="0"/>
            <c:spPr>
              <a:noFill/>
              <a:ln w="19080">
                <a:solidFill>
                  <a:srgbClr val="5b9bd5"/>
                </a:solidFill>
                <a:custDash/>
                <a:round/>
              </a:ln>
            </c:spPr>
          </c:dPt>
          <c:dPt>
            <c:idx val="1"/>
            <c:spPr>
              <a:noFill/>
              <a:ln w="19080">
                <a:solidFill>
                  <a:srgbClr val="5b9bd5"/>
                </a:solidFill>
                <a:custDash/>
                <a:round/>
              </a:ln>
            </c:spPr>
          </c:dPt>
          <c:dPt>
            <c:idx val="2"/>
            <c:spPr>
              <a:noFill/>
              <a:ln w="19080">
                <a:solidFill>
                  <a:srgbClr val="5b9bd5"/>
                </a:solidFill>
                <a:custDash/>
                <a:round/>
              </a:ln>
            </c:spPr>
          </c:dPt>
          <c:dPt>
            <c:idx val="3"/>
            <c:spPr>
              <a:noFill/>
              <a:ln w="19080">
                <a:solidFill>
                  <a:srgbClr val="5b9bd5"/>
                </a:solidFill>
                <a:custDash/>
                <a:round/>
              </a:ln>
            </c:spPr>
          </c:dPt>
          <c:dPt>
            <c:idx val="4"/>
            <c:spPr>
              <a:noFill/>
              <a:ln w="19080">
                <a:solidFill>
                  <a:srgbClr val="5b9bd5"/>
                </a:solidFill>
                <a:custDash/>
                <a:round/>
              </a:ln>
            </c:spPr>
          </c:dPt>
          <c:dPt>
            <c:idx val="5"/>
            <c:spPr>
              <a:noFill/>
              <a:ln w="19080">
                <a:solidFill>
                  <a:srgbClr val="5b9bd5"/>
                </a:solidFill>
                <a:custDash/>
                <a:round/>
              </a:ln>
            </c:spPr>
          </c:dPt>
          <c:dPt>
            <c:idx val="6"/>
            <c:spPr>
              <a:noFill/>
              <a:ln w="19080">
                <a:solidFill>
                  <a:srgbClr val="5b9bd5"/>
                </a:solidFill>
                <a:custDash/>
                <a:round/>
              </a:ln>
            </c:spPr>
          </c:dPt>
          <c:dPt>
            <c:idx val="7"/>
            <c:spPr>
              <a:noFill/>
              <a:ln w="19080">
                <a:solidFill>
                  <a:srgbClr val="5b9bd5"/>
                </a:solidFill>
                <a:custDash/>
                <a:round/>
              </a:ln>
            </c:spPr>
          </c:dPt>
          <c:dPt>
            <c:idx val="8"/>
            <c:spPr>
              <a:noFill/>
              <a:ln w="19080">
                <a:solidFill>
                  <a:srgbClr val="5b9bd5"/>
                </a:solidFill>
                <a:custDash/>
                <a:round/>
              </a:ln>
            </c:spPr>
          </c:dPt>
          <c:dPt>
            <c:idx val="9"/>
            <c:spPr>
              <a:noFill/>
              <a:ln w="19080">
                <a:solidFill>
                  <a:srgbClr val="5b9bd5"/>
                </a:solidFill>
                <a:custDash/>
                <a:round/>
              </a:ln>
            </c:spPr>
          </c:dPt>
          <c:dPt>
            <c:idx val="10"/>
            <c:spPr>
              <a:noFill/>
              <a:ln w="19080">
                <a:solidFill>
                  <a:srgbClr val="5b9bd5"/>
                </a:solidFill>
                <a:custDash/>
                <a:round/>
              </a:ln>
            </c:spPr>
          </c:dPt>
          <c:dPt>
            <c:idx val="11"/>
            <c:spPr>
              <a:noFill/>
              <a:ln w="19080">
                <a:solidFill>
                  <a:srgbClr val="5b9bd5"/>
                </a:solidFill>
                <a:custDash/>
                <a:round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lang="pt-BR" sz="9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lang="pt-BR" sz="9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lang="pt-BR" sz="9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lang="pt-BR" sz="9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lang="pt-BR" sz="9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lang="pt-BR" sz="9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lang="pt-BR" sz="9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0" lang="pt-BR" sz="9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lang="pt-BR" sz="9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lang="pt-BR" sz="9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0" lang="pt-BR" sz="9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0" lang="pt-BR" sz="900" spc="-1" strike="noStrike">
                      <a:solidFill>
                        <a:srgbClr val="595959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LeaderLines val="0"/>
          </c:dLbls>
          <c:cat>
            <c:strRef>
              <c:f>categories</c:f>
              <c:strCache>
                <c:ptCount val="0"/>
              </c:strCache>
            </c:strRef>
          </c:cat>
          <c:val>
            <c:numRef>
              <c:f>'Educação_-_Gráficos'!$R$84:$R$95</c:f>
              <c:numCache>
                <c:formatCode>General</c:formatCode>
                <c:ptCount val="12"/>
                <c:pt idx="0">
                  <c:v>54439982346.8415</c:v>
                </c:pt>
                <c:pt idx="1">
                  <c:v>54439982346.8415</c:v>
                </c:pt>
                <c:pt idx="2">
                  <c:v>54439982346.8415</c:v>
                </c:pt>
                <c:pt idx="3">
                  <c:v>54439982346.8415</c:v>
                </c:pt>
                <c:pt idx="4">
                  <c:v>54439982346.8415</c:v>
                </c:pt>
                <c:pt idx="5">
                  <c:v>54439982346.8415</c:v>
                </c:pt>
                <c:pt idx="6">
                  <c:v>54439982346.8415</c:v>
                </c:pt>
                <c:pt idx="7">
                  <c:v>54439982346.8415</c:v>
                </c:pt>
                <c:pt idx="8">
                  <c:v>54439982346.8415</c:v>
                </c:pt>
                <c:pt idx="9">
                  <c:v>54439982346.8415</c:v>
                </c:pt>
                <c:pt idx="10">
                  <c:v>54439982346.8415</c:v>
                </c:pt>
                <c:pt idx="11">
                  <c:v>54439982346.8415</c:v>
                </c:pt>
              </c:numCache>
            </c:numRef>
          </c:val>
          <c:smooth val="0"/>
        </c:ser>
        <c:ser>
          <c:idx val="2"/>
          <c:order val="2"/>
          <c:spPr>
            <a:noFill/>
            <a:ln w="28440">
              <a:solidFill>
                <a:srgbClr val="ed7d31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0"/>
              </c:strCache>
            </c:strRef>
          </c:cat>
          <c:val>
            <c:numRef>
              <c:f>'Educação_-_Gráficos'!$S$84:$S$95</c:f>
              <c:numCache>
                <c:formatCode>General</c:formatCode>
                <c:ptCount val="12"/>
                <c:pt idx="0">
                  <c:v>4196743470.708</c:v>
                </c:pt>
                <c:pt idx="1">
                  <c:v>8311648779.818</c:v>
                </c:pt>
                <c:pt idx="2">
                  <c:v>12851105155.678</c:v>
                </c:pt>
                <c:pt idx="3">
                  <c:v>17678349065.3827</c:v>
                </c:pt>
                <c:pt idx="4">
                  <c:v>21407828089.5643</c:v>
                </c:pt>
                <c:pt idx="5">
                  <c:v>25885964625.3756</c:v>
                </c:pt>
                <c:pt idx="6">
                  <c:v>29488247158.9323</c:v>
                </c:pt>
                <c:pt idx="7">
                  <c:v>32635616000</c:v>
                </c:pt>
                <c:pt idx="8">
                  <c:v>44511430511.8476</c:v>
                </c:pt>
                <c:pt idx="9">
                  <c:v>19291925141.5248</c:v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axId val="81850873"/>
        <c:axId val="15148704"/>
      </c:lineChart>
      <c:catAx>
        <c:axId val="741685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043007"/>
        <c:crossesAt val="0"/>
        <c:auto val="1"/>
        <c:lblAlgn val="ctr"/>
        <c:lblOffset val="100"/>
      </c:catAx>
      <c:valAx>
        <c:axId val="960430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168507"/>
        <c:crosses val="min"/>
      </c:valAx>
      <c:catAx>
        <c:axId val="8185087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148704"/>
        <c:crossesAt val="0"/>
        <c:auto val="1"/>
        <c:lblAlgn val="ctr"/>
        <c:lblOffset val="100"/>
      </c:catAx>
      <c:valAx>
        <c:axId val="15148704"/>
        <c:scaling>
          <c:orientation val="minMax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850873"/>
        <c:crosses val="min"/>
      </c:valAx>
      <c:spPr>
        <a:noFill/>
        <a:ln>
          <a:noFill/>
        </a:ln>
      </c:spPr>
    </c:plotArea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'Educação_-_Gráficos'!$R$7</c:f>
              <c:strCache>
                <c:ptCount val="1"/>
                <c:pt idx="0">
                  <c:v>Despesas Executadas até 44440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lang="en-US" sz="1599" spc="-1" strike="noStrike">
                    <a:solidFill>
                      <a:srgbClr val="40404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'Educação_-_Gráficos'!$W$5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'Educação_-_Gráficos'!$W$7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tx>
            <c:strRef>
              <c:f>'Educação_-_Gráficos'!$R$6</c:f>
              <c:strCache>
                <c:ptCount val="1"/>
                <c:pt idx="0">
                  <c:v>Limite Mínimo (ao final do Exercício)</c:v>
                </c:pt>
              </c:strCache>
            </c:strRef>
          </c:tx>
          <c:spPr>
            <a:solidFill>
              <a:srgbClr val="4d39be"/>
            </a:solidFill>
            <a:ln w="12600">
              <a:solidFill>
                <a:srgbClr val="7030a0">
                  <a:alpha val="0"/>
                </a:srgbClr>
              </a:solidFill>
              <a:custDash/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lang="pt-BR" sz="1599" spc="-1" strike="noStrike">
                    <a:solidFill>
                      <a:srgbClr val="40404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'Educação_-_Gráficos'!$W$5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'Educação_-_Gráficos'!$W$6</c:f>
              <c:numCache>
                <c:formatCode>General</c:formatCode>
                <c:ptCount val="1"/>
                <c:pt idx="0">
                  <c:v>55.59955397</c:v>
                </c:pt>
              </c:numCache>
            </c:numRef>
          </c:val>
        </c:ser>
        <c:ser>
          <c:idx val="2"/>
          <c:order val="2"/>
          <c:spPr>
            <a:solidFill>
              <a:srgbClr val="ffffff">
                <a:alpha val="2000"/>
              </a:srgbClr>
            </a:solidFill>
            <a:ln w="9360">
              <a:solidFill>
                <a:srgbClr val="ffffff">
                  <a:alpha val="200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lang="pt-BR" sz="1599" spc="-1" strike="noStrike">
                    <a:solidFill>
                      <a:srgbClr val="40404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'Educação_-_Gráficos'!$W$5</c:f>
              <c:strCache>
                <c:ptCount val="1"/>
                <c:pt idx="0">
                  <c:v>Valores</c:v>
                </c:pt>
              </c:strCache>
            </c:strRef>
          </c:cat>
          <c:val>
            <c:numRef>
              <c:f>'Educação_-_Gráficos'!$W$9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28"/>
        <c:overlap val="100"/>
        <c:axId val="61887765"/>
        <c:axId val="24231216"/>
      </c:barChart>
      <c:catAx>
        <c:axId val="61887765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1399" spc="-1" strike="noStrike">
                <a:solidFill>
                  <a:srgbClr val="595959"/>
                </a:solidFill>
                <a:latin typeface="Arial Narrow"/>
              </a:defRPr>
            </a:pPr>
          </a:p>
        </c:txPr>
        <c:crossAx val="24231216"/>
        <c:crosses val="max"/>
        <c:auto val="1"/>
        <c:lblAlgn val="ctr"/>
        <c:lblOffset val="100"/>
      </c:catAx>
      <c:valAx>
        <c:axId val="24231216"/>
        <c:scaling>
          <c:max val="1.500000"/>
          <c:orientation val="minMax"/>
        </c:scaling>
        <c:delete val="1"/>
        <c:axPos val="r"/>
        <c:numFmt formatCode="0.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pt-BR" sz="1399" spc="-1" strike="noStrike">
                <a:solidFill>
                  <a:srgbClr val="595959"/>
                </a:solidFill>
                <a:latin typeface="Arial Narrow"/>
              </a:defRPr>
            </a:pPr>
          </a:p>
        </c:txPr>
        <c:crossAx val="61887765"/>
        <c:crosses val="max"/>
      </c:valAx>
      <c:spPr>
        <a:noFill/>
        <a:ln>
          <a:noFill/>
        </a:ln>
      </c:spPr>
    </c:plotArea>
    <c:plotVisOnly val="0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'Saúde_-_Gráficos'!$R$4</c:f>
              <c:strCache>
                <c:ptCount val="1"/>
                <c:pt idx="0">
                  <c:v>Limite Mínimo (ao final do Exercício)</c:v>
                </c:pt>
              </c:strCache>
            </c:strRef>
          </c:tx>
          <c:spPr>
            <a:ln w="12600">
              <a:solidFill>
                <a:srgbClr val="d9d9d9"/>
              </a:solidFill>
              <a:custDash/>
              <a:round/>
            </a:ln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1" lang="pt-BR" sz="1599" spc="-1" strike="noStrike"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'Educação_-_Gráficos'!$X$3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'Educação_-_Gráficos'!$AA$142</c:f>
              <c:numCache>
                <c:formatCode>General</c:formatCode>
                <c:ptCount val="1"/>
                <c:pt idx="0">
                  <c:v>55.59955397</c:v>
                </c:pt>
              </c:numCache>
            </c:numRef>
          </c:val>
        </c:ser>
        <c:ser>
          <c:idx val="1"/>
          <c:order val="1"/>
          <c:tx>
            <c:strRef>
              <c:f>'Saúde_-_Gráficos'!$R$6</c:f>
              <c:strCache>
                <c:ptCount val="1"/>
                <c:pt idx="0">
                  <c:v>Despesas Executadas até 44440</c:v>
                </c:pt>
              </c:strCache>
            </c:strRef>
          </c:tx>
          <c:spPr>
            <a:solidFill>
              <a:srgbClr val="4d39be"/>
            </a:solidFill>
            <a:ln w="12600">
              <a:solidFill>
                <a:srgbClr val="7030a0">
                  <a:alpha val="0"/>
                </a:srgbClr>
              </a:solidFill>
              <a:round/>
            </a:ln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1" lang="pt-BR" sz="1599" spc="-1" strike="noStrike"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'Educação_-_Gráficos'!$X$3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'Educação_-_Gráficos'!$AA$144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tx>
            <c:strRef>
              <c:f>'Saúde_-_Gráficos'!$R$8</c:f>
              <c:strCache>
                <c:ptCount val="1"/>
                <c:pt idx="0">
                  <c:v>Despesa Executada Percentual</c:v>
                </c:pt>
              </c:strCache>
            </c:strRef>
          </c:tx>
          <c:spPr>
            <a:noFill/>
            <a:ln w="9360">
              <a:solidFill>
                <a:srgbClr val="d9d9d9">
                  <a:alpha val="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pt-BR" sz="1599" spc="-1" strike="noStrike">
                    <a:solidFill>
                      <a:srgbClr val="ffffff"/>
                    </a:solidFill>
                    <a:latin typeface="Arial Narrow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'Educação_-_Gráficos'!$X$3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'Educação_-_Gráficos'!$AA$146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30"/>
        <c:overlap val="100"/>
        <c:axId val="16416269"/>
        <c:axId val="41131164"/>
      </c:barChart>
      <c:catAx>
        <c:axId val="1641626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1399" spc="-1" strike="noStrike">
                <a:solidFill>
                  <a:srgbClr val="595959"/>
                </a:solidFill>
                <a:latin typeface="Arial Narrow"/>
              </a:defRPr>
            </a:pPr>
          </a:p>
        </c:txPr>
        <c:crossAx val="41131164"/>
        <c:crossesAt val="0"/>
        <c:auto val="1"/>
        <c:lblAlgn val="ctr"/>
        <c:lblOffset val="100"/>
      </c:catAx>
      <c:valAx>
        <c:axId val="41131164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pt-BR" sz="1399" spc="-1" strike="noStrike">
                <a:solidFill>
                  <a:srgbClr val="595959"/>
                </a:solidFill>
                <a:latin typeface="Arial Narrow"/>
              </a:defRPr>
            </a:pPr>
          </a:p>
        </c:txPr>
        <c:crossAx val="16416269"/>
        <c:crosses val="mi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38001745200698"/>
          <c:y val="0.76949244795210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pt-BR" sz="1000" spc="-1" strike="noStrike">
              <a:solidFill>
                <a:srgbClr val="595959"/>
              </a:solidFill>
              <a:latin typeface="Arial Narrow"/>
            </a:defRPr>
          </a:pPr>
        </a:p>
      </c:txPr>
    </c:legend>
    <c:plotVisOnly val="0"/>
    <c:dispBlanksAs val="gap"/>
  </c:chart>
  <c:spPr>
    <a:noFill/>
    <a:ln>
      <a:noFill/>
    </a:ln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'Saúde_-_Gráficos'!$R$4</c:f>
              <c:strCache>
                <c:ptCount val="1"/>
                <c:pt idx="0">
                  <c:v>Limite Mínimo (ao final do Exercício)</c:v>
                </c:pt>
              </c:strCache>
            </c:strRef>
          </c:tx>
          <c:spPr>
            <a:ln w="12600">
              <a:solidFill>
                <a:srgbClr val="d9d9d9"/>
              </a:solidFill>
              <a:custDash/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lang="pt-BR" sz="1599" spc="-1" strike="noStrike"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'Saúde_-_Gráficos'!$X$3</c:f>
              <c:strCache>
                <c:ptCount val="1"/>
                <c:pt idx="0">
                  <c:v>Valores p/ gráfico simplificado</c:v>
                </c:pt>
              </c:strCache>
            </c:strRef>
          </c:cat>
          <c:val>
            <c:numRef>
              <c:f>'Saúde_-_Gráficos'!$X$4</c:f>
              <c:numCache>
                <c:formatCode>General</c:formatCode>
                <c:ptCount val="1"/>
                <c:pt idx="0">
                  <c:v>123.828765019724</c:v>
                </c:pt>
              </c:numCache>
            </c:numRef>
          </c:val>
        </c:ser>
        <c:ser>
          <c:idx val="1"/>
          <c:order val="1"/>
          <c:tx>
            <c:strRef>
              <c:f>'Saúde_-_Gráficos'!$R$6</c:f>
              <c:strCache>
                <c:ptCount val="1"/>
                <c:pt idx="0">
                  <c:v>Despesas Executadas até 44440</c:v>
                </c:pt>
              </c:strCache>
            </c:strRef>
          </c:tx>
          <c:spPr>
            <a:solidFill>
              <a:srgbClr val="4d39be"/>
            </a:solidFill>
            <a:ln w="12600">
              <a:solidFill>
                <a:srgbClr val="7030a0">
                  <a:alpha val="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lang="pt-BR" sz="1599" spc="-1" strike="noStrike"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'Saúde_-_Gráficos'!$X$3</c:f>
              <c:strCache>
                <c:ptCount val="1"/>
                <c:pt idx="0">
                  <c:v>Valores p/ gráfico simplificado</c:v>
                </c:pt>
              </c:strCache>
            </c:strRef>
          </c:cat>
          <c:val>
            <c:numRef>
              <c:f>'Saúde_-_Gráficos'!$X$6</c:f>
              <c:numCache>
                <c:formatCode>General</c:formatCode>
                <c:ptCount val="1"/>
                <c:pt idx="0">
                  <c:v>112.163376384168</c:v>
                </c:pt>
              </c:numCache>
            </c:numRef>
          </c:val>
        </c:ser>
        <c:ser>
          <c:idx val="2"/>
          <c:order val="2"/>
          <c:tx>
            <c:strRef>
              <c:f>'Saúde_-_Gráficos'!$R$8</c:f>
              <c:strCache>
                <c:ptCount val="1"/>
                <c:pt idx="0">
                  <c:v>Despesa Executada Percentual</c:v>
                </c:pt>
              </c:strCache>
            </c:strRef>
          </c:tx>
          <c:spPr>
            <a:noFill/>
            <a:ln w="9360">
              <a:solidFill>
                <a:srgbClr val="d9d9d9">
                  <a:alpha val="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pt-BR" sz="1599" spc="-1" strike="noStrike">
                    <a:solidFill>
                      <a:srgbClr val="ffffff"/>
                    </a:solidFill>
                    <a:latin typeface="Arial Narrow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'Saúde_-_Gráficos'!$X$3</c:f>
              <c:strCache>
                <c:ptCount val="1"/>
                <c:pt idx="0">
                  <c:v>Valores p/ gráfico simplificado</c:v>
                </c:pt>
              </c:strCache>
            </c:strRef>
          </c:cat>
          <c:val>
            <c:numRef>
              <c:f>'Saúde_-_Gráficos'!$X$8</c:f>
              <c:numCache>
                <c:formatCode>General</c:formatCode>
                <c:ptCount val="1"/>
                <c:pt idx="0">
                  <c:v>0.905794193831309</c:v>
                </c:pt>
              </c:numCache>
            </c:numRef>
          </c:val>
        </c:ser>
        <c:gapWidth val="130"/>
        <c:overlap val="100"/>
        <c:axId val="61448911"/>
        <c:axId val="38075562"/>
      </c:barChart>
      <c:catAx>
        <c:axId val="61448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1399" spc="-1" strike="noStrike">
                <a:solidFill>
                  <a:srgbClr val="595959"/>
                </a:solidFill>
                <a:latin typeface="Arial Narrow"/>
              </a:defRPr>
            </a:pPr>
          </a:p>
        </c:txPr>
        <c:crossAx val="38075562"/>
        <c:crossesAt val="0"/>
        <c:auto val="1"/>
        <c:lblAlgn val="ctr"/>
        <c:lblOffset val="100"/>
      </c:catAx>
      <c:valAx>
        <c:axId val="38075562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pt-BR" sz="1399" spc="-1" strike="noStrike">
                <a:solidFill>
                  <a:srgbClr val="595959"/>
                </a:solidFill>
                <a:latin typeface="Arial Narrow"/>
              </a:defRPr>
            </a:pPr>
          </a:p>
        </c:txPr>
        <c:crossAx val="61448911"/>
        <c:crosses val="mi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1072588431493"/>
          <c:y val="0.77431346684254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pt-BR" sz="1000" spc="-1" strike="noStrike">
              <a:solidFill>
                <a:srgbClr val="595959"/>
              </a:solidFill>
              <a:latin typeface="Arial Narrow"/>
            </a:defRPr>
          </a:pPr>
        </a:p>
      </c:txPr>
    </c:legend>
    <c:plotVisOnly val="0"/>
    <c:dispBlanksAs val="gap"/>
  </c:chart>
  <c:spPr>
    <a:noFill/>
    <a:ln>
      <a:noFill/>
    </a:ln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'Saúde_-_Gráficos'!$R$9</c:f>
              <c:strCache>
                <c:ptCount val="1"/>
                <c:pt idx="0">
                  <c:v>Diferença para Cumprimento (final do exercício)</c:v>
                </c:pt>
              </c:strCache>
            </c:strRef>
          </c:tx>
          <c:spPr>
            <a:ln w="12600">
              <a:solidFill>
                <a:srgbClr val="960000"/>
              </a:solidFill>
              <a:custDash/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n-US" sz="1599" spc="-1" strike="noStrike"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'Saúde_-_Gráficos'!$X$3</c:f>
              <c:strCache>
                <c:ptCount val="1"/>
                <c:pt idx="0">
                  <c:v>Valores p/ gráfico simplificado</c:v>
                </c:pt>
              </c:strCache>
            </c:strRef>
          </c:cat>
          <c:val>
            <c:numRef>
              <c:f>'Saúde_-_Gráficos'!$X$9</c:f>
              <c:numCache>
                <c:formatCode>General</c:formatCode>
                <c:ptCount val="1"/>
                <c:pt idx="0">
                  <c:v>-11.6653886355566</c:v>
                </c:pt>
              </c:numCache>
            </c:numRef>
          </c:val>
        </c:ser>
        <c:ser>
          <c:idx val="1"/>
          <c:order val="1"/>
          <c:tx>
            <c:strRef>
              <c:f>'Saúde_-_Gráficos'!$R$6</c:f>
              <c:strCache>
                <c:ptCount val="1"/>
                <c:pt idx="0">
                  <c:v>Despesas Executadas até 44440</c:v>
                </c:pt>
              </c:strCache>
            </c:strRef>
          </c:tx>
          <c:spPr>
            <a:ln w="12600">
              <a:solidFill>
                <a:srgbClr val="7030a0">
                  <a:alpha val="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lang="pt-BR" sz="1599" spc="-1" strike="noStrike"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'Saúde_-_Gráficos'!$X$3</c:f>
              <c:strCache>
                <c:ptCount val="1"/>
                <c:pt idx="0">
                  <c:v>Valores p/ gráfico simplificado</c:v>
                </c:pt>
              </c:strCache>
            </c:strRef>
          </c:cat>
          <c:val>
            <c:numRef>
              <c:f>'Saúde_-_Gráficos'!$X$6</c:f>
              <c:numCache>
                <c:formatCode>General</c:formatCode>
                <c:ptCount val="1"/>
                <c:pt idx="0">
                  <c:v>112.163376384168</c:v>
                </c:pt>
              </c:numCache>
            </c:numRef>
          </c:val>
        </c:ser>
        <c:ser>
          <c:idx val="2"/>
          <c:order val="2"/>
          <c:tx>
            <c:strRef>
              <c:f>'Saúde_-_Gráficos'!$R$4</c:f>
              <c:strCache>
                <c:ptCount val="1"/>
                <c:pt idx="0">
                  <c:v>Limite Mínimo (ao final do Exercício)</c:v>
                </c:pt>
              </c:strCache>
            </c:strRef>
          </c:tx>
          <c:spPr>
            <a:solidFill>
              <a:srgbClr val="4d39b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pt-BR" sz="1599" spc="-1" strike="noStrike"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'Saúde_-_Gráficos'!$X$3</c:f>
              <c:strCache>
                <c:ptCount val="1"/>
                <c:pt idx="0">
                  <c:v>Valores p/ gráfico simplificado</c:v>
                </c:pt>
              </c:strCache>
            </c:strRef>
          </c:cat>
          <c:val>
            <c:numRef>
              <c:f>'Saúde_-_Gráficos'!$X$4</c:f>
              <c:numCache>
                <c:formatCode>General</c:formatCode>
                <c:ptCount val="1"/>
                <c:pt idx="0">
                  <c:v>123.828765019724</c:v>
                </c:pt>
              </c:numCache>
            </c:numRef>
          </c:val>
        </c:ser>
        <c:ser>
          <c:idx val="3"/>
          <c:order val="3"/>
          <c:tx>
            <c:strRef>
              <c:f>'Saúde_-_Gráficos'!$R$8</c:f>
              <c:strCache>
                <c:ptCount val="1"/>
                <c:pt idx="0">
                  <c:v>Despesa Executada Percentual</c:v>
                </c:pt>
              </c:strCache>
            </c:strRef>
          </c:tx>
          <c:spPr>
            <a:noFill/>
            <a:ln w="9360">
              <a:solidFill>
                <a:srgbClr val="d9d9d9">
                  <a:alpha val="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n-US" sz="1599" spc="-1" strike="noStrike"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'Saúde_-_Gráficos'!$X$3</c:f>
              <c:strCache>
                <c:ptCount val="1"/>
                <c:pt idx="0">
                  <c:v>Valores p/ gráfico simplificado</c:v>
                </c:pt>
              </c:strCache>
            </c:strRef>
          </c:cat>
          <c:val>
            <c:numRef>
              <c:f>'Saúde_-_Gráficos'!$X$8</c:f>
              <c:numCache>
                <c:formatCode>General</c:formatCode>
                <c:ptCount val="1"/>
                <c:pt idx="0">
                  <c:v>0.905794193831309</c:v>
                </c:pt>
              </c:numCache>
            </c:numRef>
          </c:val>
        </c:ser>
        <c:gapWidth val="100"/>
        <c:overlap val="100"/>
        <c:axId val="74226486"/>
        <c:axId val="67951134"/>
      </c:barChart>
      <c:catAx>
        <c:axId val="7422648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spPr>
          <a:ln w="6480">
            <a:solidFill>
              <a:srgbClr val="898989"/>
            </a:solidFill>
            <a:round/>
          </a:ln>
        </c:spPr>
        <c:txPr>
          <a:bodyPr/>
          <a:lstStyle/>
          <a:p>
            <a:pPr>
              <a:defRPr b="0" lang="pt-BR" sz="1399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67951134"/>
        <c:crossesAt val="0"/>
        <c:auto val="1"/>
        <c:lblAlgn val="ctr"/>
        <c:lblOffset val="100"/>
      </c:catAx>
      <c:valAx>
        <c:axId val="67951134"/>
        <c:scaling>
          <c:orientation val="minMax"/>
        </c:scaling>
        <c:delete val="1"/>
        <c:axPos val="l"/>
        <c:numFmt formatCode="\ * #,##0.0\ ;\-* #,##0.0\ ;\ * \-#\ ;\ @\ " sourceLinked="1"/>
        <c:majorTickMark val="out"/>
        <c:minorTickMark val="none"/>
        <c:tickLblPos val="nextTo"/>
        <c:spPr>
          <a:ln w="6480">
            <a:solidFill>
              <a:srgbClr val="898989"/>
            </a:solidFill>
            <a:round/>
          </a:ln>
        </c:spPr>
        <c:txPr>
          <a:bodyPr/>
          <a:lstStyle/>
          <a:p>
            <a:pPr>
              <a:defRPr b="0" lang="pt-BR" sz="1399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74226486"/>
        <c:crosses val="min"/>
      </c:valAx>
      <c:spPr>
        <a:noFill/>
        <a:ln>
          <a:noFill/>
        </a:ln>
      </c:spPr>
    </c:plotArea>
    <c:plotVisOnly val="0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Cancelados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2"/>
                <c:pt idx="0">
                  <c:v>Pessoal e Encargos</c:v>
                </c:pt>
                <c:pt idx="1">
                  <c:v>Juros e Enc. da Dívida</c:v>
                </c:pt>
                <c:pt idx="2">
                  <c:v>Outras Despesas Correntes</c:v>
                </c:pt>
                <c:pt idx="3">
                  <c:v>Investimentos</c:v>
                </c:pt>
                <c:pt idx="4">
                  <c:v>Inversões Financeiras</c:v>
                </c:pt>
                <c:pt idx="5">
                  <c:v>Amort. da Dívida</c:v>
                </c:pt>
                <c:pt idx="6">
                  <c:v>Pessoal e Encargos</c:v>
                </c:pt>
                <c:pt idx="7">
                  <c:v>Juros e Enc. da Dívida</c:v>
                </c:pt>
                <c:pt idx="8">
                  <c:v>Outras Despesas Correntes</c:v>
                </c:pt>
                <c:pt idx="9">
                  <c:v>Investimentos</c:v>
                </c:pt>
                <c:pt idx="10">
                  <c:v>Inversões Financeiras</c:v>
                </c:pt>
                <c:pt idx="11">
                  <c:v>Amort. da Dívida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74.2274838</c:v>
                </c:pt>
                <c:pt idx="1">
                  <c:v>0</c:v>
                </c:pt>
                <c:pt idx="2">
                  <c:v>26.3068504230743</c:v>
                </c:pt>
                <c:pt idx="3">
                  <c:v>645.72023797</c:v>
                </c:pt>
                <c:pt idx="4">
                  <c:v>357.26758403</c:v>
                </c:pt>
                <c:pt idx="5">
                  <c:v>0</c:v>
                </c:pt>
                <c:pt idx="6">
                  <c:v>376.68930643</c:v>
                </c:pt>
                <c:pt idx="7">
                  <c:v>0</c:v>
                </c:pt>
                <c:pt idx="8">
                  <c:v>22940.0583006229</c:v>
                </c:pt>
                <c:pt idx="9">
                  <c:v>655.468666712738</c:v>
                </c:pt>
                <c:pt idx="10">
                  <c:v>669.499496755</c:v>
                </c:pt>
                <c:pt idx="11">
                  <c:v>26.52448403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Pagos</c:v>
                </c:pt>
              </c:strCache>
            </c:strRef>
          </c:tx>
          <c:spPr>
            <a:solidFill>
              <a:srgbClr val="002060">
                <a:alpha val="99000"/>
              </a:srgbClr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2"/>
                <c:pt idx="0">
                  <c:v>Pessoal e Encargos</c:v>
                </c:pt>
                <c:pt idx="1">
                  <c:v>Juros e Enc. da Dívida</c:v>
                </c:pt>
                <c:pt idx="2">
                  <c:v>Outras Despesas Correntes</c:v>
                </c:pt>
                <c:pt idx="3">
                  <c:v>Investimentos</c:v>
                </c:pt>
                <c:pt idx="4">
                  <c:v>Inversões Financeiras</c:v>
                </c:pt>
                <c:pt idx="5">
                  <c:v>Amort. da Dívida</c:v>
                </c:pt>
                <c:pt idx="6">
                  <c:v>Pessoal e Encargos</c:v>
                </c:pt>
                <c:pt idx="7">
                  <c:v>Juros e Enc. da Dívida</c:v>
                </c:pt>
                <c:pt idx="8">
                  <c:v>Outras Despesas Correntes</c:v>
                </c:pt>
                <c:pt idx="9">
                  <c:v>Investimentos</c:v>
                </c:pt>
                <c:pt idx="10">
                  <c:v>Inversões Financeiras</c:v>
                </c:pt>
                <c:pt idx="11">
                  <c:v>Amort. da Dívida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0">
                  <c:v>16951.51821073</c:v>
                </c:pt>
                <c:pt idx="1">
                  <c:v>0.06863518</c:v>
                </c:pt>
                <c:pt idx="2">
                  <c:v>44804.1022951261</c:v>
                </c:pt>
                <c:pt idx="3">
                  <c:v>1142.87293351789</c:v>
                </c:pt>
                <c:pt idx="4">
                  <c:v>587.20991577</c:v>
                </c:pt>
                <c:pt idx="5">
                  <c:v>3.14936223</c:v>
                </c:pt>
                <c:pt idx="6">
                  <c:v>344.66574956</c:v>
                </c:pt>
                <c:pt idx="7">
                  <c:v>0.64910701</c:v>
                </c:pt>
                <c:pt idx="8">
                  <c:v>46821.6715939188</c:v>
                </c:pt>
                <c:pt idx="9">
                  <c:v>11526.9266415071</c:v>
                </c:pt>
                <c:pt idx="10">
                  <c:v>3559.31173248</c:v>
                </c:pt>
                <c:pt idx="11">
                  <c:v>1144.78908978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Saldo a Pagar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2"/>
                <c:pt idx="0">
                  <c:v>Pessoal e Encargos</c:v>
                </c:pt>
                <c:pt idx="1">
                  <c:v>Juros e Enc. da Dívida</c:v>
                </c:pt>
                <c:pt idx="2">
                  <c:v>Outras Despesas Correntes</c:v>
                </c:pt>
                <c:pt idx="3">
                  <c:v>Investimentos</c:v>
                </c:pt>
                <c:pt idx="4">
                  <c:v>Inversões Financeiras</c:v>
                </c:pt>
                <c:pt idx="5">
                  <c:v>Amort. da Dívida</c:v>
                </c:pt>
                <c:pt idx="6">
                  <c:v>Pessoal e Encargos</c:v>
                </c:pt>
                <c:pt idx="7">
                  <c:v>Juros e Enc. da Dívida</c:v>
                </c:pt>
                <c:pt idx="8">
                  <c:v>Outras Despesas Correntes</c:v>
                </c:pt>
                <c:pt idx="9">
                  <c:v>Investimentos</c:v>
                </c:pt>
                <c:pt idx="10">
                  <c:v>Inversões Financeiras</c:v>
                </c:pt>
                <c:pt idx="11">
                  <c:v>Amort. da Dívida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2"/>
                <c:pt idx="0">
                  <c:v>119.660112881</c:v>
                </c:pt>
                <c:pt idx="1">
                  <c:v>0.77810146</c:v>
                </c:pt>
                <c:pt idx="2">
                  <c:v>1178.5595404291</c:v>
                </c:pt>
                <c:pt idx="3">
                  <c:v>5481.4284862441</c:v>
                </c:pt>
                <c:pt idx="4">
                  <c:v>2620.49081245</c:v>
                </c:pt>
                <c:pt idx="5">
                  <c:v>0</c:v>
                </c:pt>
                <c:pt idx="6">
                  <c:v>652.71838847</c:v>
                </c:pt>
                <c:pt idx="7">
                  <c:v>325.72799032</c:v>
                </c:pt>
                <c:pt idx="8">
                  <c:v>20000.6468063317</c:v>
                </c:pt>
                <c:pt idx="9">
                  <c:v>34656.1709949067</c:v>
                </c:pt>
                <c:pt idx="10">
                  <c:v>10003.41885522</c:v>
                </c:pt>
                <c:pt idx="11">
                  <c:v>55.70882249</c:v>
                </c:pt>
              </c:numCache>
            </c:numRef>
          </c:val>
        </c:ser>
        <c:gapWidth val="125"/>
        <c:overlap val="100"/>
        <c:axId val="54081953"/>
        <c:axId val="46506677"/>
      </c:barChart>
      <c:catAx>
        <c:axId val="54081953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b="0" lang="pt-BR" sz="1800" spc="-1" strike="noStrike">
                <a:solidFill>
                  <a:srgbClr val="000000"/>
                </a:solidFill>
                <a:latin typeface="Arial Narrow"/>
                <a:ea typeface="Calibri"/>
              </a:defRPr>
            </a:pPr>
          </a:p>
        </c:txPr>
        <c:crossAx val="46506677"/>
        <c:crossesAt val="0"/>
        <c:auto val="1"/>
        <c:lblAlgn val="ctr"/>
        <c:lblOffset val="100"/>
      </c:catAx>
      <c:valAx>
        <c:axId val="46506677"/>
        <c:scaling>
          <c:max val="140000.000000"/>
          <c:min val="0.000000"/>
          <c:orientation val="minMax"/>
        </c:scaling>
        <c:delete val="0"/>
        <c:axPos val="l"/>
        <c:majorGridlines>
          <c:spPr>
            <a:ln w="6480">
              <a:solidFill>
                <a:srgbClr val="bfbfbf"/>
              </a:solidFill>
              <a:round/>
            </a:ln>
          </c:spPr>
        </c:majorGridlines>
        <c:numFmt formatCode="\ * 0\ ;\ * \(0\);\ * \-#\ ;\ @\ " sourceLinked="0"/>
        <c:majorTickMark val="out"/>
        <c:minorTickMark val="none"/>
        <c:tickLblPos val="nextTo"/>
        <c:spPr>
          <a:ln w="316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399" spc="-1" strike="noStrike">
                <a:solidFill>
                  <a:srgbClr val="000000"/>
                </a:solidFill>
                <a:latin typeface="Arial Narrow"/>
                <a:ea typeface="Calibri"/>
              </a:defRPr>
            </a:pPr>
          </a:p>
        </c:txPr>
        <c:crossAx val="54081953"/>
        <c:crosses val="max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restos_a_pagar!$C$3</c:f>
              <c:strCache>
                <c:ptCount val="1"/>
                <c:pt idx="0">
                  <c:v>Cancelados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restos_a_pagar!$A$5:$A$17</c:f>
              <c:strCache>
                <c:ptCount val="13"/>
                <c:pt idx="0">
                  <c:v>Pessoal e Encargos</c:v>
                </c:pt>
                <c:pt idx="1">
                  <c:v>Juros e Enc. da Dívida</c:v>
                </c:pt>
                <c:pt idx="2">
                  <c:v>Outras Despesas Correntes</c:v>
                </c:pt>
                <c:pt idx="3">
                  <c:v>Investimentos</c:v>
                </c:pt>
                <c:pt idx="4">
                  <c:v>Inversões Financeiras</c:v>
                </c:pt>
                <c:pt idx="5">
                  <c:v>Amort. da Dívida</c:v>
                </c:pt>
                <c:pt idx="6">
                  <c:v>Total</c:v>
                </c:pt>
                <c:pt idx="7">
                  <c:v>Pessoal e Encargos</c:v>
                </c:pt>
                <c:pt idx="8">
                  <c:v>Juros e Enc. da Dívida</c:v>
                </c:pt>
                <c:pt idx="9">
                  <c:v>Outras Despesas Correntes</c:v>
                </c:pt>
                <c:pt idx="10">
                  <c:v>Investimentos</c:v>
                </c:pt>
                <c:pt idx="11">
                  <c:v>Inversões Financeiras</c:v>
                </c:pt>
                <c:pt idx="12">
                  <c:v>Amort. da Dívida</c:v>
                </c:pt>
              </c:strCache>
            </c:strRef>
          </c:cat>
          <c:val>
            <c:numRef>
              <c:f>restos_a_pagar!$C$5:$C$10</c:f>
              <c:numCache>
                <c:formatCode>General</c:formatCode>
                <c:ptCount val="6"/>
                <c:pt idx="0">
                  <c:v>74.2274838</c:v>
                </c:pt>
                <c:pt idx="1">
                  <c:v>0</c:v>
                </c:pt>
                <c:pt idx="2">
                  <c:v>26.3068504230743</c:v>
                </c:pt>
                <c:pt idx="3">
                  <c:v>645.72023797</c:v>
                </c:pt>
                <c:pt idx="4">
                  <c:v>357.26758403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restos_a_pagar!$D$3</c:f>
              <c:strCache>
                <c:ptCount val="1"/>
                <c:pt idx="0">
                  <c:v>Pagos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restos_a_pagar!$A$5:$A$17</c:f>
              <c:strCache>
                <c:ptCount val="13"/>
                <c:pt idx="0">
                  <c:v>Pessoal e Encargos</c:v>
                </c:pt>
                <c:pt idx="1">
                  <c:v>Juros e Enc. da Dívida</c:v>
                </c:pt>
                <c:pt idx="2">
                  <c:v>Outras Despesas Correntes</c:v>
                </c:pt>
                <c:pt idx="3">
                  <c:v>Investimentos</c:v>
                </c:pt>
                <c:pt idx="4">
                  <c:v>Inversões Financeiras</c:v>
                </c:pt>
                <c:pt idx="5">
                  <c:v>Amort. da Dívida</c:v>
                </c:pt>
                <c:pt idx="6">
                  <c:v>Total</c:v>
                </c:pt>
                <c:pt idx="7">
                  <c:v>Pessoal e Encargos</c:v>
                </c:pt>
                <c:pt idx="8">
                  <c:v>Juros e Enc. da Dívida</c:v>
                </c:pt>
                <c:pt idx="9">
                  <c:v>Outras Despesas Correntes</c:v>
                </c:pt>
                <c:pt idx="10">
                  <c:v>Investimentos</c:v>
                </c:pt>
                <c:pt idx="11">
                  <c:v>Inversões Financeiras</c:v>
                </c:pt>
                <c:pt idx="12">
                  <c:v>Amort. da Dívida</c:v>
                </c:pt>
              </c:strCache>
            </c:strRef>
          </c:cat>
          <c:val>
            <c:numRef>
              <c:f>restos_a_pagar!$D$5:$D$10</c:f>
              <c:numCache>
                <c:formatCode>General</c:formatCode>
                <c:ptCount val="6"/>
                <c:pt idx="0">
                  <c:v>16951.51821073</c:v>
                </c:pt>
                <c:pt idx="1">
                  <c:v>0.06863518</c:v>
                </c:pt>
                <c:pt idx="2">
                  <c:v>44804.1022951261</c:v>
                </c:pt>
                <c:pt idx="3">
                  <c:v>1142.87293351789</c:v>
                </c:pt>
                <c:pt idx="4">
                  <c:v>587.20991577</c:v>
                </c:pt>
                <c:pt idx="5">
                  <c:v>3.14936223</c:v>
                </c:pt>
              </c:numCache>
            </c:numRef>
          </c:val>
        </c:ser>
        <c:ser>
          <c:idx val="2"/>
          <c:order val="2"/>
          <c:tx>
            <c:strRef>
              <c:f>restos_a_pagar!$E$3</c:f>
              <c:strCache>
                <c:ptCount val="1"/>
                <c:pt idx="0">
                  <c:v>Saldo a Pagar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restos_a_pagar!$A$5:$A$17</c:f>
              <c:strCache>
                <c:ptCount val="13"/>
                <c:pt idx="0">
                  <c:v>Pessoal e Encargos</c:v>
                </c:pt>
                <c:pt idx="1">
                  <c:v>Juros e Enc. da Dívida</c:v>
                </c:pt>
                <c:pt idx="2">
                  <c:v>Outras Despesas Correntes</c:v>
                </c:pt>
                <c:pt idx="3">
                  <c:v>Investimentos</c:v>
                </c:pt>
                <c:pt idx="4">
                  <c:v>Inversões Financeiras</c:v>
                </c:pt>
                <c:pt idx="5">
                  <c:v>Amort. da Dívida</c:v>
                </c:pt>
                <c:pt idx="6">
                  <c:v>Total</c:v>
                </c:pt>
                <c:pt idx="7">
                  <c:v>Pessoal e Encargos</c:v>
                </c:pt>
                <c:pt idx="8">
                  <c:v>Juros e Enc. da Dívida</c:v>
                </c:pt>
                <c:pt idx="9">
                  <c:v>Outras Despesas Correntes</c:v>
                </c:pt>
                <c:pt idx="10">
                  <c:v>Investimentos</c:v>
                </c:pt>
                <c:pt idx="11">
                  <c:v>Inversões Financeiras</c:v>
                </c:pt>
                <c:pt idx="12">
                  <c:v>Amort. da Dívida</c:v>
                </c:pt>
              </c:strCache>
            </c:strRef>
          </c:cat>
          <c:val>
            <c:numRef>
              <c:f>restos_a_pagar!$E$5:$E$10</c:f>
              <c:numCache>
                <c:formatCode>General</c:formatCode>
                <c:ptCount val="6"/>
                <c:pt idx="0">
                  <c:v>119.660112881</c:v>
                </c:pt>
                <c:pt idx="1">
                  <c:v>0.77810146</c:v>
                </c:pt>
                <c:pt idx="2">
                  <c:v>1178.5595404291</c:v>
                </c:pt>
                <c:pt idx="3">
                  <c:v>5481.4284862441</c:v>
                </c:pt>
                <c:pt idx="4">
                  <c:v>2620.49081245</c:v>
                </c:pt>
                <c:pt idx="5">
                  <c:v>0</c:v>
                </c:pt>
              </c:numCache>
            </c:numRef>
          </c:val>
        </c:ser>
        <c:gapWidth val="150"/>
        <c:overlap val="100"/>
        <c:axId val="88049031"/>
        <c:axId val="52347084"/>
      </c:barChart>
      <c:catAx>
        <c:axId val="88049031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  <a:ea typeface="Calibri"/>
              </a:defRPr>
            </a:pPr>
          </a:p>
        </c:txPr>
        <c:crossAx val="52347084"/>
        <c:crossesAt val="0"/>
        <c:auto val="1"/>
        <c:lblAlgn val="ctr"/>
        <c:lblOffset val="100"/>
      </c:catAx>
      <c:valAx>
        <c:axId val="52347084"/>
        <c:scaling>
          <c:orientation val="minMax"/>
        </c:scaling>
        <c:delete val="0"/>
        <c:axPos val="l"/>
        <c:majorGridlines>
          <c:spPr>
            <a:ln w="6480">
              <a:solidFill>
                <a:srgbClr val="bfbfbf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316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  <a:ea typeface="Calibri"/>
              </a:defRPr>
            </a:pPr>
          </a:p>
        </c:txPr>
        <c:crossAx val="88049031"/>
        <c:crosses val="max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restos_a_pagar!$G$3</c:f>
              <c:strCache>
                <c:ptCount val="1"/>
                <c:pt idx="0">
                  <c:v>Cancelados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restos_a_pagar!$A$5:$A$17</c:f>
              <c:strCache>
                <c:ptCount val="13"/>
                <c:pt idx="0">
                  <c:v>Pessoal e Encargos</c:v>
                </c:pt>
                <c:pt idx="1">
                  <c:v>Juros e Enc. da Dívida</c:v>
                </c:pt>
                <c:pt idx="2">
                  <c:v>Outras Despesas Correntes</c:v>
                </c:pt>
                <c:pt idx="3">
                  <c:v>Investimentos</c:v>
                </c:pt>
                <c:pt idx="4">
                  <c:v>Inversões Financeiras</c:v>
                </c:pt>
                <c:pt idx="5">
                  <c:v>Amort. da Dívida</c:v>
                </c:pt>
                <c:pt idx="6">
                  <c:v>Total</c:v>
                </c:pt>
                <c:pt idx="7">
                  <c:v>Pessoal e Encargos</c:v>
                </c:pt>
                <c:pt idx="8">
                  <c:v>Juros e Enc. da Dívida</c:v>
                </c:pt>
                <c:pt idx="9">
                  <c:v>Outras Despesas Correntes</c:v>
                </c:pt>
                <c:pt idx="10">
                  <c:v>Investimentos</c:v>
                </c:pt>
                <c:pt idx="11">
                  <c:v>Inversões Financeiras</c:v>
                </c:pt>
                <c:pt idx="12">
                  <c:v>Amort. da Dívida</c:v>
                </c:pt>
              </c:strCache>
            </c:strRef>
          </c:cat>
          <c:val>
            <c:numRef>
              <c:f>restos_a_pagar!$G$5:$G$10</c:f>
              <c:numCache>
                <c:formatCode>General</c:formatCode>
                <c:ptCount val="6"/>
                <c:pt idx="0">
                  <c:v>376.68930643</c:v>
                </c:pt>
                <c:pt idx="1">
                  <c:v>0</c:v>
                </c:pt>
                <c:pt idx="2">
                  <c:v>22940.0583006229</c:v>
                </c:pt>
                <c:pt idx="3">
                  <c:v>655.468666712738</c:v>
                </c:pt>
                <c:pt idx="4">
                  <c:v>669.499496755</c:v>
                </c:pt>
                <c:pt idx="5">
                  <c:v>26.52448403</c:v>
                </c:pt>
              </c:numCache>
            </c:numRef>
          </c:val>
        </c:ser>
        <c:ser>
          <c:idx val="1"/>
          <c:order val="1"/>
          <c:tx>
            <c:strRef>
              <c:f>restos_a_pagar!$H$3</c:f>
              <c:strCache>
                <c:ptCount val="1"/>
                <c:pt idx="0">
                  <c:v>Pagos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restos_a_pagar!$A$5:$A$17</c:f>
              <c:strCache>
                <c:ptCount val="13"/>
                <c:pt idx="0">
                  <c:v>Pessoal e Encargos</c:v>
                </c:pt>
                <c:pt idx="1">
                  <c:v>Juros e Enc. da Dívida</c:v>
                </c:pt>
                <c:pt idx="2">
                  <c:v>Outras Despesas Correntes</c:v>
                </c:pt>
                <c:pt idx="3">
                  <c:v>Investimentos</c:v>
                </c:pt>
                <c:pt idx="4">
                  <c:v>Inversões Financeiras</c:v>
                </c:pt>
                <c:pt idx="5">
                  <c:v>Amort. da Dívida</c:v>
                </c:pt>
                <c:pt idx="6">
                  <c:v>Total</c:v>
                </c:pt>
                <c:pt idx="7">
                  <c:v>Pessoal e Encargos</c:v>
                </c:pt>
                <c:pt idx="8">
                  <c:v>Juros e Enc. da Dívida</c:v>
                </c:pt>
                <c:pt idx="9">
                  <c:v>Outras Despesas Correntes</c:v>
                </c:pt>
                <c:pt idx="10">
                  <c:v>Investimentos</c:v>
                </c:pt>
                <c:pt idx="11">
                  <c:v>Inversões Financeiras</c:v>
                </c:pt>
                <c:pt idx="12">
                  <c:v>Amort. da Dívida</c:v>
                </c:pt>
              </c:strCache>
            </c:strRef>
          </c:cat>
          <c:val>
            <c:numRef>
              <c:f>restos_a_pagar!$H$5:$H$10</c:f>
              <c:numCache>
                <c:formatCode>General</c:formatCode>
                <c:ptCount val="6"/>
                <c:pt idx="0">
                  <c:v>344.66574956</c:v>
                </c:pt>
                <c:pt idx="1">
                  <c:v>0.64910701</c:v>
                </c:pt>
                <c:pt idx="2">
                  <c:v>46821.6715939188</c:v>
                </c:pt>
                <c:pt idx="3">
                  <c:v>11526.9266415071</c:v>
                </c:pt>
                <c:pt idx="4">
                  <c:v>3559.31173248</c:v>
                </c:pt>
                <c:pt idx="5">
                  <c:v>1144.78908978</c:v>
                </c:pt>
              </c:numCache>
            </c:numRef>
          </c:val>
        </c:ser>
        <c:ser>
          <c:idx val="2"/>
          <c:order val="2"/>
          <c:tx>
            <c:strRef>
              <c:f>restos_a_pagar!$I$3</c:f>
              <c:strCache>
                <c:ptCount val="1"/>
                <c:pt idx="0">
                  <c:v>Saldo a Pagar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restos_a_pagar!$A$5:$A$17</c:f>
              <c:strCache>
                <c:ptCount val="13"/>
                <c:pt idx="0">
                  <c:v>Pessoal e Encargos</c:v>
                </c:pt>
                <c:pt idx="1">
                  <c:v>Juros e Enc. da Dívida</c:v>
                </c:pt>
                <c:pt idx="2">
                  <c:v>Outras Despesas Correntes</c:v>
                </c:pt>
                <c:pt idx="3">
                  <c:v>Investimentos</c:v>
                </c:pt>
                <c:pt idx="4">
                  <c:v>Inversões Financeiras</c:v>
                </c:pt>
                <c:pt idx="5">
                  <c:v>Amort. da Dívida</c:v>
                </c:pt>
                <c:pt idx="6">
                  <c:v>Total</c:v>
                </c:pt>
                <c:pt idx="7">
                  <c:v>Pessoal e Encargos</c:v>
                </c:pt>
                <c:pt idx="8">
                  <c:v>Juros e Enc. da Dívida</c:v>
                </c:pt>
                <c:pt idx="9">
                  <c:v>Outras Despesas Correntes</c:v>
                </c:pt>
                <c:pt idx="10">
                  <c:v>Investimentos</c:v>
                </c:pt>
                <c:pt idx="11">
                  <c:v>Inversões Financeiras</c:v>
                </c:pt>
                <c:pt idx="12">
                  <c:v>Amort. da Dívida</c:v>
                </c:pt>
              </c:strCache>
            </c:strRef>
          </c:cat>
          <c:val>
            <c:numRef>
              <c:f>restos_a_pagar!$I$5:$I$10</c:f>
              <c:numCache>
                <c:formatCode>General</c:formatCode>
                <c:ptCount val="6"/>
                <c:pt idx="0">
                  <c:v>652.71838847</c:v>
                </c:pt>
                <c:pt idx="1">
                  <c:v>325.72799032</c:v>
                </c:pt>
                <c:pt idx="2">
                  <c:v>20000.6468063317</c:v>
                </c:pt>
                <c:pt idx="3">
                  <c:v>34656.1709949067</c:v>
                </c:pt>
                <c:pt idx="4">
                  <c:v>10003.41885522</c:v>
                </c:pt>
                <c:pt idx="5">
                  <c:v>55.70882249</c:v>
                </c:pt>
              </c:numCache>
            </c:numRef>
          </c:val>
        </c:ser>
        <c:gapWidth val="150"/>
        <c:overlap val="100"/>
        <c:axId val="84677185"/>
        <c:axId val="91444784"/>
      </c:barChart>
      <c:catAx>
        <c:axId val="84677185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  <a:ea typeface="Calibri"/>
              </a:defRPr>
            </a:pPr>
          </a:p>
        </c:txPr>
        <c:crossAx val="91444784"/>
        <c:crossesAt val="0"/>
        <c:auto val="1"/>
        <c:lblAlgn val="ctr"/>
        <c:lblOffset val="100"/>
      </c:catAx>
      <c:valAx>
        <c:axId val="91444784"/>
        <c:scaling>
          <c:min val="0.000000"/>
          <c:orientation val="minMax"/>
        </c:scaling>
        <c:delete val="0"/>
        <c:axPos val="l"/>
        <c:majorGridlines>
          <c:spPr>
            <a:ln w="6480">
              <a:solidFill>
                <a:srgbClr val="bfbfbf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316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  <a:ea typeface="Calibri"/>
              </a:defRPr>
            </a:pPr>
          </a:p>
        </c:txPr>
        <c:crossAx val="84677185"/>
        <c:crosses val="max"/>
        <c:majorUnit val="20000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Disp__Caixa_Executivo!$F$1</c:f>
              <c:strCache>
                <c:ptCount val="1"/>
                <c:pt idx="0">
                  <c:v>RECURSOS NÃO VINCULADOS/ORDINÁRIOS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Pt>
            <c:idx val="10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Pt>
            <c:idx val="11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Pt>
            <c:idx val="12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203864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203864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203864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203864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203864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203864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203864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203864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203864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203864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203864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203864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203864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lang="pt-BR" sz="1200" spc="-1" strike="noStrike">
                    <a:solidFill>
                      <a:srgbClr val="203864"/>
                    </a:solidFill>
                    <a:latin typeface="Arial Narrow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Disp__Caixa_Executivo!$A$2:$A$14</c:f>
              <c:strCache>
                <c:ptCount val="13"/>
                <c:pt idx="0">
                  <c:v>Recursos Não Vinculados/Ordinários</c:v>
                </c:pt>
                <c:pt idx="1">
                  <c:v>Recursos da Dívida Pública</c:v>
                </c:pt>
                <c:pt idx="2">
                  <c:v>Recursos Vinculados a Fundos, Órgãos e Programas</c:v>
                </c:pt>
                <c:pt idx="3">
                  <c:v>Recursos de Receitas Financeiras Vinculadas</c:v>
                </c:pt>
                <c:pt idx="4">
                  <c:v>Outros Recursos Vinculados</c:v>
                </c:pt>
                <c:pt idx="5">
                  <c:v>Rec. de Transf. a Estados, DF, Municípios, inclusive Fundos</c:v>
                </c:pt>
                <c:pt idx="6">
                  <c:v>Recursos vinculados à Educação</c:v>
                </c:pt>
                <c:pt idx="7">
                  <c:v>Recursos de Alienação de Bens e Direitos</c:v>
                </c:pt>
                <c:pt idx="8">
                  <c:v>Rec. vinculados à Seguridade Social (exceto Previdência)</c:v>
                </c:pt>
                <c:pt idx="9">
                  <c:v>Recursos a Classificar</c:v>
                </c:pt>
                <c:pt idx="10">
                  <c:v>Recursos vinculados à Previdência Social (RPPS)</c:v>
                </c:pt>
                <c:pt idx="11">
                  <c:v>Recursos vinculados à Previdência Social (RGPS)</c:v>
                </c:pt>
                <c:pt idx="12">
                  <c:v>Total de Disponibilidades (Ordinárias e Vinculadas)</c:v>
                </c:pt>
              </c:strCache>
            </c:strRef>
          </c:cat>
          <c:val>
            <c:numRef>
              <c:f>Disp__Caixa_Executivo!$F$2:$F$14</c:f>
              <c:numCache>
                <c:formatCode>General</c:formatCode>
                <c:ptCount val="13"/>
                <c:pt idx="0">
                  <c:v>126.412947798248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1"/>
          <c:order val="1"/>
          <c:tx>
            <c:strRef>
              <c:f>Disp__Caixa_Executivo!$G$1</c:f>
              <c:strCache>
                <c:ptCount val="1"/>
                <c:pt idx="0">
                  <c:v>DISPONIBILIDADES POSITIVAS</c:v>
                </c:pt>
              </c:strCache>
            </c:strRef>
          </c:tx>
          <c:spPr>
            <a:solidFill>
              <a:srgbClr val="385723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10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11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12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Lbls>
            <c:numFmt formatCode="#,##0.0" sourceLinked="0"/>
            <c:dLbl>
              <c:idx val="0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lang="pt-BR" sz="1200" spc="-1" strike="noStrike">
                    <a:solidFill>
                      <a:srgbClr val="385723"/>
                    </a:solidFill>
                    <a:latin typeface="Arial Narrow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Disp__Caixa_Executivo!$A$2:$A$14</c:f>
              <c:strCache>
                <c:ptCount val="13"/>
                <c:pt idx="0">
                  <c:v>Recursos Não Vinculados/Ordinários</c:v>
                </c:pt>
                <c:pt idx="1">
                  <c:v>Recursos da Dívida Pública</c:v>
                </c:pt>
                <c:pt idx="2">
                  <c:v>Recursos Vinculados a Fundos, Órgãos e Programas</c:v>
                </c:pt>
                <c:pt idx="3">
                  <c:v>Recursos de Receitas Financeiras Vinculadas</c:v>
                </c:pt>
                <c:pt idx="4">
                  <c:v>Outros Recursos Vinculados</c:v>
                </c:pt>
                <c:pt idx="5">
                  <c:v>Rec. de Transf. a Estados, DF, Municípios, inclusive Fundos</c:v>
                </c:pt>
                <c:pt idx="6">
                  <c:v>Recursos vinculados à Educação</c:v>
                </c:pt>
                <c:pt idx="7">
                  <c:v>Recursos de Alienação de Bens e Direitos</c:v>
                </c:pt>
                <c:pt idx="8">
                  <c:v>Rec. vinculados à Seguridade Social (exceto Previdência)</c:v>
                </c:pt>
                <c:pt idx="9">
                  <c:v>Recursos a Classificar</c:v>
                </c:pt>
                <c:pt idx="10">
                  <c:v>Recursos vinculados à Previdência Social (RPPS)</c:v>
                </c:pt>
                <c:pt idx="11">
                  <c:v>Recursos vinculados à Previdência Social (RGPS)</c:v>
                </c:pt>
                <c:pt idx="12">
                  <c:v>Total de Disponibilidades (Ordinárias e Vinculadas)</c:v>
                </c:pt>
              </c:strCache>
            </c:strRef>
          </c:cat>
          <c:val>
            <c:numRef>
              <c:f>Disp__Caixa_Executivo!$G$2:$G$14</c:f>
              <c:numCache>
                <c:formatCode>General</c:formatCode>
                <c:ptCount val="13"/>
                <c:pt idx="0">
                  <c:v/>
                </c:pt>
                <c:pt idx="1">
                  <c:v>1132.84206306182</c:v>
                </c:pt>
                <c:pt idx="2">
                  <c:v>243.98536996475</c:v>
                </c:pt>
                <c:pt idx="3">
                  <c:v>10.38417180043</c:v>
                </c:pt>
                <c:pt idx="4">
                  <c:v>23.1558926046842</c:v>
                </c:pt>
                <c:pt idx="5">
                  <c:v>27.05986774638</c:v>
                </c:pt>
                <c:pt idx="6">
                  <c:v>13.9071540494702</c:v>
                </c:pt>
                <c:pt idx="7">
                  <c:v>13.5308846756637</c:v>
                </c:pt>
                <c:pt idx="8">
                  <c:v>49.4528766312498</c:v>
                </c:pt>
                <c:pt idx="9">
                  <c:v>0.0712885220600006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2"/>
          <c:order val="2"/>
          <c:tx>
            <c:strRef>
              <c:f>Disp__Caixa_Executivo!$H$1</c:f>
              <c:strCache>
                <c:ptCount val="1"/>
                <c:pt idx="0">
                  <c:v>DISPONIBILIDADES NEGATIVAS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10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11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12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lang="pt-BR" sz="1200" spc="-1" strike="noStrike">
                    <a:solidFill>
                      <a:srgbClr val="ff0000"/>
                    </a:solidFill>
                    <a:latin typeface="Arial Narrow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Disp__Caixa_Executivo!$A$2:$A$14</c:f>
              <c:strCache>
                <c:ptCount val="13"/>
                <c:pt idx="0">
                  <c:v>Recursos Não Vinculados/Ordinários</c:v>
                </c:pt>
                <c:pt idx="1">
                  <c:v>Recursos da Dívida Pública</c:v>
                </c:pt>
                <c:pt idx="2">
                  <c:v>Recursos Vinculados a Fundos, Órgãos e Programas</c:v>
                </c:pt>
                <c:pt idx="3">
                  <c:v>Recursos de Receitas Financeiras Vinculadas</c:v>
                </c:pt>
                <c:pt idx="4">
                  <c:v>Outros Recursos Vinculados</c:v>
                </c:pt>
                <c:pt idx="5">
                  <c:v>Rec. de Transf. a Estados, DF, Municípios, inclusive Fundos</c:v>
                </c:pt>
                <c:pt idx="6">
                  <c:v>Recursos vinculados à Educação</c:v>
                </c:pt>
                <c:pt idx="7">
                  <c:v>Recursos de Alienação de Bens e Direitos</c:v>
                </c:pt>
                <c:pt idx="8">
                  <c:v>Rec. vinculados à Seguridade Social (exceto Previdência)</c:v>
                </c:pt>
                <c:pt idx="9">
                  <c:v>Recursos a Classificar</c:v>
                </c:pt>
                <c:pt idx="10">
                  <c:v>Recursos vinculados à Previdência Social (RPPS)</c:v>
                </c:pt>
                <c:pt idx="11">
                  <c:v>Recursos vinculados à Previdência Social (RGPS)</c:v>
                </c:pt>
                <c:pt idx="12">
                  <c:v>Total de Disponibilidades (Ordinárias e Vinculadas)</c:v>
                </c:pt>
              </c:strCache>
            </c:strRef>
          </c:cat>
          <c:val>
            <c:numRef>
              <c:f>Disp__Caixa_Executivo!$H$2:$H$14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-7.45882859813</c:v>
                </c:pt>
                <c:pt idx="11">
                  <c:v>-93.29906904236</c:v>
                </c:pt>
                <c:pt idx="12">
                  <c:v/>
                </c:pt>
              </c:numCache>
            </c:numRef>
          </c:val>
        </c:ser>
        <c:ser>
          <c:idx val="3"/>
          <c:order val="3"/>
          <c:tx>
            <c:strRef>
              <c:f>Disp__Caixa_Executivo!$I$1</c:f>
              <c:strCache>
                <c:ptCount val="1"/>
                <c:pt idx="0">
                  <c:v>TOTAL DE DISPONIBILIDADES</c:v>
                </c:pt>
              </c:strCache>
            </c:strRef>
          </c:tx>
          <c:spPr>
            <a:solidFill>
              <a:srgbClr val="7f600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7f600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7f6000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7f6000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7f6000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7f6000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7f6000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7f6000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7f6000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7f6000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7f6000"/>
              </a:solidFill>
              <a:ln>
                <a:noFill/>
              </a:ln>
            </c:spPr>
          </c:dPt>
          <c:dPt>
            <c:idx val="10"/>
            <c:invertIfNegative val="0"/>
            <c:spPr>
              <a:solidFill>
                <a:srgbClr val="7f6000"/>
              </a:solidFill>
              <a:ln>
                <a:noFill/>
              </a:ln>
            </c:spPr>
          </c:dPt>
          <c:dPt>
            <c:idx val="11"/>
            <c:invertIfNegative val="0"/>
            <c:spPr>
              <a:solidFill>
                <a:srgbClr val="7f6000"/>
              </a:solidFill>
              <a:ln>
                <a:noFill/>
              </a:ln>
            </c:spPr>
          </c:dPt>
          <c:dPt>
            <c:idx val="12"/>
            <c:invertIfNegative val="0"/>
            <c:spPr>
              <a:solidFill>
                <a:srgbClr val="7f600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bf9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bf9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bf9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bf9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bf9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bf9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bf9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bf9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bf9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bf9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bf9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bf9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txPr>
                <a:bodyPr/>
                <a:lstStyle/>
                <a:p>
                  <a:pPr>
                    <a:defRPr b="1" lang="pt-BR" sz="1200" spc="-1" strike="noStrike">
                      <a:solidFill>
                        <a:srgbClr val="bf9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lang="pt-BR" sz="1200" spc="-1" strike="noStrike">
                    <a:solidFill>
                      <a:srgbClr val="bf9000"/>
                    </a:solidFill>
                    <a:latin typeface="Arial Narrow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Disp__Caixa_Executivo!$A$2:$A$14</c:f>
              <c:strCache>
                <c:ptCount val="13"/>
                <c:pt idx="0">
                  <c:v>Recursos Não Vinculados/Ordinários</c:v>
                </c:pt>
                <c:pt idx="1">
                  <c:v>Recursos da Dívida Pública</c:v>
                </c:pt>
                <c:pt idx="2">
                  <c:v>Recursos Vinculados a Fundos, Órgãos e Programas</c:v>
                </c:pt>
                <c:pt idx="3">
                  <c:v>Recursos de Receitas Financeiras Vinculadas</c:v>
                </c:pt>
                <c:pt idx="4">
                  <c:v>Outros Recursos Vinculados</c:v>
                </c:pt>
                <c:pt idx="5">
                  <c:v>Rec. de Transf. a Estados, DF, Municípios, inclusive Fundos</c:v>
                </c:pt>
                <c:pt idx="6">
                  <c:v>Recursos vinculados à Educação</c:v>
                </c:pt>
                <c:pt idx="7">
                  <c:v>Recursos de Alienação de Bens e Direitos</c:v>
                </c:pt>
                <c:pt idx="8">
                  <c:v>Rec. vinculados à Seguridade Social (exceto Previdência)</c:v>
                </c:pt>
                <c:pt idx="9">
                  <c:v>Recursos a Classificar</c:v>
                </c:pt>
                <c:pt idx="10">
                  <c:v>Recursos vinculados à Previdência Social (RPPS)</c:v>
                </c:pt>
                <c:pt idx="11">
                  <c:v>Recursos vinculados à Previdência Social (RGPS)</c:v>
                </c:pt>
                <c:pt idx="12">
                  <c:v>Total de Disponibilidades (Ordinárias e Vinculadas)</c:v>
                </c:pt>
              </c:strCache>
            </c:strRef>
          </c:cat>
          <c:val>
            <c:numRef>
              <c:f>Disp__Caixa_Executivo!$I$2:$I$14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1540.04461921427</c:v>
                </c:pt>
              </c:numCache>
            </c:numRef>
          </c:val>
        </c:ser>
        <c:gapWidth val="15"/>
        <c:overlap val="100"/>
        <c:axId val="18186641"/>
        <c:axId val="52979248"/>
      </c:barChart>
      <c:catAx>
        <c:axId val="1818664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60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049" spc="-1" strike="noStrike">
                <a:solidFill>
                  <a:srgbClr val="595959"/>
                </a:solidFill>
                <a:latin typeface="Arial Narrow"/>
              </a:defRPr>
            </a:pPr>
          </a:p>
        </c:txPr>
        <c:crossAx val="52979248"/>
        <c:crossesAt val="0"/>
        <c:auto val="1"/>
        <c:lblAlgn val="ctr"/>
        <c:lblOffset val="100"/>
        <c:majorUnit val="1"/>
      </c:catAx>
      <c:valAx>
        <c:axId val="52979248"/>
        <c:scaling>
          <c:orientation val="minMax"/>
        </c:scaling>
        <c:delete val="0"/>
        <c:axPos val="l"/>
        <c:numFmt formatCode="#,##0" sourceLinked="1"/>
        <c:majorTickMark val="in"/>
        <c:minorTickMark val="out"/>
        <c:tickLblPos val="low"/>
        <c:spPr>
          <a:ln w="936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049" spc="-1" strike="noStrike">
                <a:solidFill>
                  <a:srgbClr val="595959"/>
                </a:solidFill>
                <a:latin typeface="Arial Narrow"/>
              </a:defRPr>
            </a:pPr>
          </a:p>
        </c:txPr>
        <c:crossAx val="18186641"/>
        <c:crosses val="max"/>
      </c:valAx>
      <c:spPr>
        <a:noFill/>
        <a:ln>
          <a:noFill/>
        </a:ln>
      </c:spPr>
    </c:plotArea>
    <c:plotVisOnly val="0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Seguridade!$A$50</c:f>
              <c:strCache>
                <c:ptCount val="1"/>
                <c:pt idx="0">
                  <c:v>DRU</c:v>
                </c:pt>
              </c:strCache>
            </c:strRef>
          </c:tx>
          <c:spPr>
            <a:solidFill>
              <a:srgbClr val="2e75b6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9dc3e6"/>
              </a:solidFill>
              <a:ln>
                <a:noFill/>
              </a:ln>
            </c:spPr>
          </c:dPt>
          <c:dLbls>
            <c:numFmt formatCode="#,##0.0" sourceLinked="0"/>
            <c:dLbl>
              <c:idx val="0"/>
              <c:txPr>
                <a:bodyPr/>
                <a:lstStyle/>
                <a:p>
                  <a:pPr>
                    <a:defRPr b="1" lang="pt-BR" sz="1599" spc="-1" strike="noStrike">
                      <a:solidFill>
                        <a:srgbClr val="00000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lang="pt-BR" sz="1599" spc="-1" strike="noStrike"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Seguridade!$B$48</c:f>
              <c:strCache>
                <c:ptCount val="1"/>
                <c:pt idx="0">
                  <c:v>R$ bilhões</c:v>
                </c:pt>
              </c:strCache>
            </c:strRef>
          </c:cat>
          <c:val>
            <c:numRef>
              <c:f>Seguridade!$B$50</c:f>
              <c:numCache>
                <c:formatCode>General</c:formatCode>
                <c:ptCount val="1"/>
                <c:pt idx="0">
                  <c:v>0.1540130111</c:v>
                </c:pt>
              </c:numCache>
            </c:numRef>
          </c:val>
        </c:ser>
        <c:ser>
          <c:idx val="1"/>
          <c:order val="1"/>
          <c:tx>
            <c:strRef>
              <c:f>Seguridade!$A$52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142832"/>
            </a:solidFill>
            <a:ln>
              <a:noFill/>
            </a:ln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1" lang="pt-BR" sz="1599" spc="-1" strike="noStrike"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Seguridade!$B$48</c:f>
              <c:strCache>
                <c:ptCount val="1"/>
                <c:pt idx="0">
                  <c:v>R$ bilhões</c:v>
                </c:pt>
              </c:strCache>
            </c:strRef>
          </c:cat>
          <c:val>
            <c:numRef>
              <c:f>Seguridade!$B$52</c:f>
              <c:numCache>
                <c:formatCode>General</c:formatCode>
                <c:ptCount val="1"/>
                <c:pt idx="0">
                  <c:v>-234.375569687511</c:v>
                </c:pt>
              </c:numCache>
            </c:numRef>
          </c:val>
        </c:ser>
        <c:ser>
          <c:idx val="2"/>
          <c:order val="2"/>
          <c:tx>
            <c:strRef>
              <c:f>Seguridade!$A$51</c:f>
              <c:strCache>
                <c:ptCount val="1"/>
                <c:pt idx="0">
                  <c:v>Despesas da Seguridade Social</c:v>
                </c:pt>
              </c:strCache>
            </c:strRef>
          </c:tx>
          <c:spPr>
            <a:solidFill>
              <a:srgbClr val="c5e0b4"/>
            </a:solidFill>
            <a:ln>
              <a:noFill/>
            </a:ln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1" lang="en-US" sz="1599" spc="-1" strike="noStrike"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Seguridade!$B$48</c:f>
              <c:strCache>
                <c:ptCount val="1"/>
                <c:pt idx="0">
                  <c:v>R$ bilhões</c:v>
                </c:pt>
              </c:strCache>
            </c:strRef>
          </c:cat>
          <c:val>
            <c:numRef>
              <c:f>Seguridade!$B$51</c:f>
              <c:numCache>
                <c:formatCode>General</c:formatCode>
                <c:ptCount val="1"/>
                <c:pt idx="0">
                  <c:v>935.493992206401</c:v>
                </c:pt>
              </c:numCache>
            </c:numRef>
          </c:val>
        </c:ser>
        <c:ser>
          <c:idx val="3"/>
          <c:order val="3"/>
          <c:tx>
            <c:strRef>
              <c:f>Seguridade!$A$49</c:f>
              <c:strCache>
                <c:ptCount val="1"/>
                <c:pt idx="0">
                  <c:v>Receitas da Seguridade Social</c:v>
                </c:pt>
              </c:strCache>
            </c:strRef>
          </c:tx>
          <c:spPr>
            <a:solidFill>
              <a:srgbClr val="385723"/>
            </a:solidFill>
            <a:ln>
              <a:noFill/>
            </a:ln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b="1" lang="pt-BR" sz="1599" spc="-1" strike="noStrike"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Seguridade!$B$48</c:f>
              <c:strCache>
                <c:ptCount val="1"/>
                <c:pt idx="0">
                  <c:v>R$ bilhões</c:v>
                </c:pt>
              </c:strCache>
            </c:strRef>
          </c:cat>
          <c:val>
            <c:numRef>
              <c:f>Seguridade!$B$49</c:f>
              <c:numCache>
                <c:formatCode>General</c:formatCode>
                <c:ptCount val="1"/>
                <c:pt idx="0">
                  <c:v>701.11842251889</c:v>
                </c:pt>
              </c:numCache>
            </c:numRef>
          </c:val>
        </c:ser>
        <c:gapWidth val="0"/>
        <c:overlap val="0"/>
        <c:axId val="14664749"/>
        <c:axId val="65998456"/>
      </c:barChart>
      <c:catAx>
        <c:axId val="14664749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one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998456"/>
        <c:crossesAt val="0"/>
        <c:auto val="1"/>
        <c:lblAlgn val="ctr"/>
        <c:lblOffset val="100"/>
        <c:majorUnit val="1"/>
        <c:minorUnit val="1"/>
      </c:catAx>
      <c:valAx>
        <c:axId val="65998456"/>
        <c:scaling>
          <c:orientation val="minMax"/>
        </c:scaling>
        <c:delete val="0"/>
        <c:axPos val="l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numFmt formatCode="\ * 0\ ;\-* 0\ ;\ * \-#\ ;\ @\ 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595959"/>
                </a:solidFill>
                <a:latin typeface="Arial Narrow"/>
              </a:defRPr>
            </a:pPr>
          </a:p>
        </c:txPr>
        <c:crossAx val="14664749"/>
        <c:crosses val="min"/>
        <c:majorUnit val="100"/>
      </c:valAx>
      <c:spPr>
        <a:noFill/>
        <a:ln>
          <a:noFill/>
        </a:ln>
      </c:spPr>
    </c:plotArea>
    <c:plotVisOnly val="0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RCL!$A$34</c:f>
              <c:strCache>
                <c:ptCount val="1"/>
                <c:pt idx="0">
                  <c:v>RECEITA CORRENTE (I)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pt-BR" sz="1399" spc="-1" strike="noStrike">
                    <a:solidFill>
                      <a:srgbClr val="00206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RCL!$B$33:$D$33</c:f>
              <c:strCache>
                <c:ptCount val="3"/>
                <c:pt idx="0">
                  <c:v>#NAME?</c:v>
                </c:pt>
                <c:pt idx="1">
                  <c:v>#NAME?</c:v>
                </c:pt>
                <c:pt idx="2">
                  <c:v>#NAME?</c:v>
                </c:pt>
              </c:strCache>
            </c:strRef>
          </c:cat>
          <c:val>
            <c:numRef>
              <c:f>RCL!$B$34:$D$34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RCL!$A$35</c:f>
              <c:strCache>
                <c:ptCount val="1"/>
                <c:pt idx="0">
                  <c:v>DEDUÇÕES (II)</c:v>
                </c:pt>
              </c:strCache>
            </c:strRef>
          </c:tx>
          <c:spPr>
            <a:solidFill>
              <a:srgbClr val="2f5597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70c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0070c0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0070c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lang="pt-BR" sz="139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lang="pt-BR" sz="139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lang="pt-BR" sz="139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399" spc="-1" strike="noStrike">
                    <a:solidFill>
                      <a:srgbClr val="0070c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RCL!$B$33:$D$33</c:f>
              <c:strCache>
                <c:ptCount val="3"/>
                <c:pt idx="0">
                  <c:v>#NAME?</c:v>
                </c:pt>
                <c:pt idx="1">
                  <c:v>#NAME?</c:v>
                </c:pt>
                <c:pt idx="2">
                  <c:v>#NAME?</c:v>
                </c:pt>
              </c:strCache>
            </c:strRef>
          </c:cat>
          <c:val>
            <c:numRef>
              <c:f>RCL!$B$35:$D$35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50"/>
        <c:overlap val="0"/>
        <c:axId val="49217307"/>
        <c:axId val="55632257"/>
      </c:barChart>
      <c:catAx>
        <c:axId val="49217307"/>
        <c:scaling>
          <c:orientation val="minMax"/>
        </c:scaling>
        <c:delete val="0"/>
        <c:axPos val="b"/>
        <c:numFmt formatCode="MMMM\-YY;@" sourceLinked="1"/>
        <c:majorTickMark val="out"/>
        <c:minorTickMark val="none"/>
        <c:tickLblPos val="low"/>
        <c:spPr>
          <a:ln w="316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2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55632257"/>
        <c:crossesAt val="0"/>
        <c:auto val="1"/>
        <c:lblAlgn val="ctr"/>
        <c:lblOffset val="100"/>
      </c:catAx>
      <c:valAx>
        <c:axId val="55632257"/>
        <c:scaling>
          <c:orientation val="minMax"/>
        </c:scaling>
        <c:delete val="0"/>
        <c:axPos val="l"/>
        <c:majorGridlines>
          <c:spPr>
            <a:ln w="6480">
              <a:solidFill>
                <a:srgbClr val="bfbfbf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316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1" lang="pt-BR" sz="12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49217307"/>
        <c:crosses val="min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Disp__Caixa!$D$1</c:f>
              <c:strCache>
                <c:ptCount val="1"/>
                <c:pt idx="0">
                  <c:v>DISPONIBILIDADES POSITIVAS</c:v>
                </c:pt>
              </c:strCache>
            </c:strRef>
          </c:tx>
          <c:spPr>
            <a:solidFill>
              <a:srgbClr val="385723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10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11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lang="pt-BR" sz="1800" spc="-1" strike="noStrike">
                    <a:solidFill>
                      <a:srgbClr val="385723"/>
                    </a:solidFill>
                    <a:latin typeface="Arial Narrow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Disp__Caixa!$A$2:$A$13</c:f>
              <c:strCache>
                <c:ptCount val="12"/>
                <c:pt idx="0">
                  <c:v>TOTAL DE RECURSOS NÃO VINCULADOS/ORDINÁRIOS (I)</c:v>
                </c:pt>
                <c:pt idx="1">
                  <c:v>Recursos vinculados à Educação</c:v>
                </c:pt>
                <c:pt idx="2">
                  <c:v>Recursos vinculados à Seguridade Social (exceto Previdência)</c:v>
                </c:pt>
                <c:pt idx="3">
                  <c:v>Recursos vinculados à Previdência Social (RPPS)</c:v>
                </c:pt>
                <c:pt idx="4">
                  <c:v>Recursos vinculados à Previdência Social (RGPS)</c:v>
                </c:pt>
                <c:pt idx="5">
                  <c:v>Recursos de Receitas Financeiras</c:v>
                </c:pt>
                <c:pt idx="6">
                  <c:v>Recursos de Operação de Crédito</c:v>
                </c:pt>
                <c:pt idx="7">
                  <c:v>Recursos de Alienação de Bens e Direitos</c:v>
                </c:pt>
                <c:pt idx="8">
                  <c:v>Recursos  de Transferências Constitucionais e Legais a Estados, DF, Municípios, inclusive Fundos</c:v>
                </c:pt>
                <c:pt idx="9">
                  <c:v>Recursos Vinculados a Fundos, Órgãos e Programas</c:v>
                </c:pt>
                <c:pt idx="10">
                  <c:v>Outros Recursos Vinculados</c:v>
                </c:pt>
                <c:pt idx="11">
                  <c:v>Recursos a Classificar</c:v>
                </c:pt>
              </c:strCache>
            </c:strRef>
          </c:cat>
          <c:val>
            <c:numRef>
              <c:f>Disp__Caixa!$D$2:$D$13</c:f>
              <c:numCache>
                <c:formatCode>General</c:formatCode>
                <c:ptCount val="12"/>
                <c:pt idx="0">
                  <c:v>128.265136766232</c:v>
                </c:pt>
                <c:pt idx="1">
                  <c:v>15.455478849148</c:v>
                </c:pt>
                <c:pt idx="2">
                  <c:v>42.3895046096076</c:v>
                </c:pt>
                <c:pt idx="3">
                  <c:v/>
                </c:pt>
                <c:pt idx="4">
                  <c:v/>
                </c:pt>
                <c:pt idx="5">
                  <c:v>100.11417387259</c:v>
                </c:pt>
                <c:pt idx="6">
                  <c:v>650.323682488479</c:v>
                </c:pt>
                <c:pt idx="7">
                  <c:v>5.25102610611947</c:v>
                </c:pt>
                <c:pt idx="8">
                  <c:v>31.52556460463</c:v>
                </c:pt>
                <c:pt idx="9">
                  <c:v>324.996589768766</c:v>
                </c:pt>
                <c:pt idx="10">
                  <c:v>32.2714599931619</c:v>
                </c:pt>
                <c:pt idx="11">
                  <c:v>0.0992974904400024</c:v>
                </c:pt>
              </c:numCache>
            </c:numRef>
          </c:val>
        </c:ser>
        <c:ser>
          <c:idx val="1"/>
          <c:order val="1"/>
          <c:tx>
            <c:strRef>
              <c:f>Disp__Caixa!$E$1</c:f>
              <c:strCache>
                <c:ptCount val="1"/>
                <c:pt idx="0">
                  <c:v>DISPONIBILIDADES NEGATIVAS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10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11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c0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c0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c0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c0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c0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c0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c0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c0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c0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1" lang="pt-BR" sz="1800" spc="-1" strike="noStrike">
                      <a:solidFill>
                        <a:srgbClr val="c00000"/>
                      </a:solidFill>
                      <a:latin typeface="Arial Narrow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lang="pt-BR" sz="1800" spc="-1" strike="noStrike">
                    <a:solidFill>
                      <a:srgbClr val="c00000"/>
                    </a:solidFill>
                    <a:latin typeface="Arial Narrow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Disp__Caixa!$A$2:$A$13</c:f>
              <c:strCache>
                <c:ptCount val="12"/>
                <c:pt idx="0">
                  <c:v>TOTAL DE RECURSOS NÃO VINCULADOS/ORDINÁRIOS (I)</c:v>
                </c:pt>
                <c:pt idx="1">
                  <c:v>Recursos vinculados à Educação</c:v>
                </c:pt>
                <c:pt idx="2">
                  <c:v>Recursos vinculados à Seguridade Social (exceto Previdência)</c:v>
                </c:pt>
                <c:pt idx="3">
                  <c:v>Recursos vinculados à Previdência Social (RPPS)</c:v>
                </c:pt>
                <c:pt idx="4">
                  <c:v>Recursos vinculados à Previdência Social (RGPS)</c:v>
                </c:pt>
                <c:pt idx="5">
                  <c:v>Recursos de Receitas Financeiras</c:v>
                </c:pt>
                <c:pt idx="6">
                  <c:v>Recursos de Operação de Crédito</c:v>
                </c:pt>
                <c:pt idx="7">
                  <c:v>Recursos de Alienação de Bens e Direitos</c:v>
                </c:pt>
                <c:pt idx="8">
                  <c:v>Recursos  de Transferências Constitucionais e Legais a Estados, DF, Municípios, inclusive Fundos</c:v>
                </c:pt>
                <c:pt idx="9">
                  <c:v>Recursos Vinculados a Fundos, Órgãos e Programas</c:v>
                </c:pt>
                <c:pt idx="10">
                  <c:v>Outros Recursos Vinculados</c:v>
                </c:pt>
                <c:pt idx="11">
                  <c:v>Recursos a Classificar</c:v>
                </c:pt>
              </c:strCache>
            </c:strRef>
          </c:cat>
          <c:val>
            <c:numRef>
              <c:f>Disp__Caixa!$E$2:$E$13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-1.69387826067</c:v>
                </c:pt>
                <c:pt idx="4">
                  <c:v>-1.9708677431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27"/>
        <c:overlap val="100"/>
        <c:axId val="74594499"/>
        <c:axId val="48784380"/>
      </c:barChart>
      <c:catAx>
        <c:axId val="745944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60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200" spc="-1" strike="noStrike">
                <a:solidFill>
                  <a:srgbClr val="595959"/>
                </a:solidFill>
                <a:latin typeface="Arial Narrow"/>
              </a:defRPr>
            </a:pPr>
          </a:p>
        </c:txPr>
        <c:crossAx val="48784380"/>
        <c:crossesAt val="0"/>
        <c:auto val="1"/>
        <c:lblAlgn val="ctr"/>
        <c:lblOffset val="100"/>
        <c:majorUnit val="1"/>
      </c:catAx>
      <c:valAx>
        <c:axId val="48784380"/>
        <c:scaling>
          <c:orientation val="minMax"/>
        </c:scaling>
        <c:delete val="0"/>
        <c:axPos val="l"/>
        <c:numFmt formatCode="#,##0" sourceLinked="1"/>
        <c:majorTickMark val="in"/>
        <c:minorTickMark val="out"/>
        <c:tickLblPos val="nextTo"/>
        <c:spPr>
          <a:ln w="316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200" spc="-1" strike="noStrike">
                <a:solidFill>
                  <a:srgbClr val="595959"/>
                </a:solidFill>
                <a:latin typeface="Arial Narrow"/>
              </a:defRPr>
            </a:pPr>
          </a:p>
        </c:txPr>
        <c:crossAx val="74594499"/>
        <c:crosses val="min"/>
      </c:valAx>
      <c:spPr>
        <a:noFill/>
        <a:ln>
          <a:noFill/>
        </a:ln>
      </c:spPr>
    </c:plotArea>
    <c:plotVisOnly val="0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radarChart>
        <c:radarStyle val="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Saldo/2021</c:v>
                </c:pt>
              </c:strCache>
            </c:strRef>
          </c:tx>
          <c:spPr>
            <a:noFill/>
            <a:ln w="31680">
              <a:solidFill>
                <a:srgbClr val="00b0f0"/>
              </a:solidFill>
              <a:round/>
            </a:ln>
          </c:spPr>
          <c:marker>
            <c:symbol val="circle"/>
            <c:size val="6"/>
            <c:spPr>
              <a:solidFill>
                <a:srgbClr val="00b0f0"/>
              </a:solidFill>
            </c:spPr>
          </c:marker>
          <c:dPt>
            <c:idx val="0"/>
            <c:spPr>
              <a:noFill/>
              <a:ln w="31680">
                <a:solidFill>
                  <a:srgbClr val="00b0f0"/>
                </a:solidFill>
                <a:round/>
              </a:ln>
            </c:spPr>
          </c:dPt>
          <c:dPt>
            <c:idx val="1"/>
            <c:spPr>
              <a:noFill/>
              <a:ln w="31680">
                <a:solidFill>
                  <a:srgbClr val="00b0f0"/>
                </a:solidFill>
                <a:round/>
              </a:ln>
            </c:spPr>
          </c:dPt>
          <c:dPt>
            <c:idx val="2"/>
            <c:spPr>
              <a:noFill/>
              <a:ln w="31680">
                <a:solidFill>
                  <a:srgbClr val="00b0f0"/>
                </a:solidFill>
                <a:round/>
              </a:ln>
            </c:spPr>
          </c:dPt>
          <c:dPt>
            <c:idx val="3"/>
            <c:spPr>
              <a:noFill/>
              <a:ln w="31680">
                <a:solidFill>
                  <a:srgbClr val="00b0f0"/>
                </a:solidFill>
                <a:round/>
              </a:ln>
            </c:spPr>
          </c:dPt>
          <c:dPt>
            <c:idx val="4"/>
            <c:spPr>
              <a:noFill/>
              <a:ln w="31680">
                <a:solidFill>
                  <a:srgbClr val="00b0f0"/>
                </a:solidFill>
                <a:round/>
              </a:ln>
            </c:spPr>
          </c:dPt>
          <c:dPt>
            <c:idx val="5"/>
            <c:spPr>
              <a:noFill/>
              <a:ln w="31680">
                <a:solidFill>
                  <a:srgbClr val="00b0f0"/>
                </a:solidFill>
                <a:round/>
              </a:ln>
            </c:spPr>
          </c:dPt>
          <c:dPt>
            <c:idx val="6"/>
            <c:spPr>
              <a:noFill/>
              <a:ln w="31680">
                <a:solidFill>
                  <a:srgbClr val="00b0f0"/>
                </a:solidFill>
                <a:round/>
              </a:ln>
            </c:spPr>
          </c:dPt>
          <c:dPt>
            <c:idx val="7"/>
            <c:spPr>
              <a:noFill/>
              <a:ln w="31680">
                <a:solidFill>
                  <a:srgbClr val="00b0f0"/>
                </a:solidFill>
                <a:round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lang="pt-BR" sz="1599" spc="-1" strike="noStrike">
                      <a:solidFill>
                        <a:srgbClr val="00b0f0"/>
                      </a:solidFill>
                      <a:latin typeface="Arial Narrow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lang="pt-BR" sz="1599" spc="-1" strike="noStrike">
                      <a:solidFill>
                        <a:srgbClr val="00b0f0"/>
                      </a:solidFill>
                      <a:latin typeface="Arial Narrow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lang="pt-BR" sz="1599" spc="-1" strike="noStrike">
                      <a:solidFill>
                        <a:srgbClr val="00b0f0"/>
                      </a:solidFill>
                      <a:latin typeface="Arial Narrow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lang="pt-BR" sz="1599" spc="-1" strike="noStrike">
                      <a:solidFill>
                        <a:srgbClr val="00b0f0"/>
                      </a:solidFill>
                      <a:latin typeface="Arial Narrow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lang="pt-BR" sz="1599" spc="-1" strike="noStrike">
                      <a:solidFill>
                        <a:srgbClr val="00b0f0"/>
                      </a:solidFill>
                      <a:latin typeface="Arial Narrow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lang="pt-BR" sz="1599" spc="-1" strike="noStrike">
                      <a:solidFill>
                        <a:srgbClr val="00b0f0"/>
                      </a:solidFill>
                      <a:latin typeface="Arial Narrow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lang="pt-BR" sz="1599" spc="-1" strike="noStrike">
                      <a:solidFill>
                        <a:srgbClr val="00b0f0"/>
                      </a:solidFill>
                      <a:latin typeface="Arial Narrow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0" lang="pt-BR" sz="1599" spc="-1" strike="noStrike">
                      <a:solidFill>
                        <a:srgbClr val="00b0f0"/>
                      </a:solidFill>
                      <a:latin typeface="Arial Narrow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599" spc="-1" strike="noStrike">
                    <a:solidFill>
                      <a:srgbClr val="00b0f0"/>
                    </a:solidFill>
                    <a:latin typeface="Arial Narro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Pessoal e Encargos Sociais</c:v>
                </c:pt>
                <c:pt idx="1">
                  <c:v>Juros e Encargos da Dívida</c:v>
                </c:pt>
                <c:pt idx="2">
                  <c:v>Transferência a Estados, DF e Municípios</c:v>
                </c:pt>
                <c:pt idx="3">
                  <c:v>Benefícios Previdenciários</c:v>
                </c:pt>
                <c:pt idx="4">
                  <c:v>Demais Despesas Correntes</c:v>
                </c:pt>
                <c:pt idx="5">
                  <c:v>Investimentos</c:v>
                </c:pt>
                <c:pt idx="6">
                  <c:v>Inversões Financeiras</c:v>
                </c:pt>
                <c:pt idx="7">
                  <c:v>Amortização da Dívida (Exceto Refinanciamento)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Empenhado</c:v>
                </c:pt>
              </c:strCache>
            </c:strRef>
          </c:tx>
          <c:spPr>
            <a:noFill/>
            <a:ln w="31680">
              <a:solidFill>
                <a:srgbClr val="002060"/>
              </a:solidFill>
              <a:round/>
            </a:ln>
          </c:spPr>
          <c:marker>
            <c:symbol val="circle"/>
            <c:size val="6"/>
            <c:spPr>
              <a:solidFill>
                <a:srgbClr val="002060"/>
              </a:solidFill>
            </c:spPr>
          </c:marker>
          <c:dPt>
            <c:idx val="0"/>
            <c:spPr>
              <a:noFill/>
              <a:ln w="31680">
                <a:solidFill>
                  <a:srgbClr val="002060"/>
                </a:solidFill>
                <a:round/>
              </a:ln>
            </c:spPr>
          </c:dPt>
          <c:dPt>
            <c:idx val="1"/>
            <c:spPr>
              <a:noFill/>
              <a:ln w="31680">
                <a:solidFill>
                  <a:srgbClr val="002060"/>
                </a:solidFill>
                <a:round/>
              </a:ln>
            </c:spPr>
          </c:dPt>
          <c:dPt>
            <c:idx val="2"/>
            <c:spPr>
              <a:noFill/>
              <a:ln w="31680">
                <a:solidFill>
                  <a:srgbClr val="002060"/>
                </a:solidFill>
                <a:round/>
              </a:ln>
            </c:spPr>
          </c:dPt>
          <c:dPt>
            <c:idx val="3"/>
            <c:spPr>
              <a:noFill/>
              <a:ln w="31680">
                <a:solidFill>
                  <a:srgbClr val="002060"/>
                </a:solidFill>
                <a:round/>
              </a:ln>
            </c:spPr>
          </c:dPt>
          <c:dPt>
            <c:idx val="4"/>
            <c:spPr>
              <a:noFill/>
              <a:ln w="31680">
                <a:solidFill>
                  <a:srgbClr val="002060"/>
                </a:solidFill>
                <a:round/>
              </a:ln>
            </c:spPr>
          </c:dPt>
          <c:dPt>
            <c:idx val="5"/>
            <c:spPr>
              <a:noFill/>
              <a:ln w="31680">
                <a:solidFill>
                  <a:srgbClr val="002060"/>
                </a:solidFill>
                <a:round/>
              </a:ln>
            </c:spPr>
          </c:dPt>
          <c:dPt>
            <c:idx val="6"/>
            <c:spPr>
              <a:noFill/>
              <a:ln w="31680">
                <a:solidFill>
                  <a:srgbClr val="002060"/>
                </a:solidFill>
                <a:round/>
              </a:ln>
            </c:spPr>
          </c:dPt>
          <c:dPt>
            <c:idx val="7"/>
            <c:spPr>
              <a:noFill/>
              <a:ln w="31680">
                <a:solidFill>
                  <a:srgbClr val="002060"/>
                </a:solidFill>
                <a:round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lang="pt-BR" sz="1599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lang="pt-BR" sz="1599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lang="pt-BR" sz="1599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lang="pt-BR" sz="1599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lang="pt-BR" sz="1599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lang="pt-BR" sz="1599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lang="pt-BR" sz="1599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0" lang="pt-BR" sz="1599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599" spc="-1" strike="noStrike">
                    <a:solidFill>
                      <a:srgbClr val="002060"/>
                    </a:solidFill>
                    <a:latin typeface="Arial Narro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8"/>
                <c:pt idx="0">
                  <c:v>Pessoal e Encargos Sociais</c:v>
                </c:pt>
                <c:pt idx="1">
                  <c:v>Juros e Encargos da Dívida</c:v>
                </c:pt>
                <c:pt idx="2">
                  <c:v>Transferência a Estados, DF e Municípios</c:v>
                </c:pt>
                <c:pt idx="3">
                  <c:v>Benefícios Previdenciários</c:v>
                </c:pt>
                <c:pt idx="4">
                  <c:v>Demais Despesas Correntes</c:v>
                </c:pt>
                <c:pt idx="5">
                  <c:v>Investimentos</c:v>
                </c:pt>
                <c:pt idx="6">
                  <c:v>Inversões Financeiras</c:v>
                </c:pt>
                <c:pt idx="7">
                  <c:v>Amortização da Dívida (Exceto Refinanciamento)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2490557"/>
        <c:axId val="93657480"/>
      </c:radarChart>
      <c:catAx>
        <c:axId val="2490557"/>
        <c:scaling>
          <c:orientation val="minMax"/>
        </c:scaling>
        <c:delete val="0"/>
        <c:axPos val="b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9360">
            <a:solidFill>
              <a:srgbClr val="e0e5eb"/>
            </a:solidFill>
            <a:round/>
          </a:ln>
        </c:spPr>
        <c:txPr>
          <a:bodyPr/>
          <a:lstStyle/>
          <a:p>
            <a:pPr>
              <a:defRPr b="0" lang="pt-BR" sz="1200" spc="-1" strike="noStrike">
                <a:solidFill>
                  <a:srgbClr val="44546a"/>
                </a:solidFill>
                <a:latin typeface="Arial Narrow"/>
              </a:defRPr>
            </a:pPr>
          </a:p>
        </c:txPr>
        <c:crossAx val="93657480"/>
        <c:crossesAt val="0"/>
        <c:auto val="1"/>
        <c:lblAlgn val="ctr"/>
        <c:lblOffset val="100"/>
      </c:catAx>
      <c:valAx>
        <c:axId val="93657480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>
                  <a:alpha val="50000"/>
                </a:srgbClr>
              </a:solidFill>
              <a:round/>
            </a:ln>
          </c:spPr>
        </c:majorGridlines>
        <c:numFmt formatCode="#,##0;\-#,##0" sourceLinked="0"/>
        <c:majorTickMark val="none"/>
        <c:minorTickMark val="none"/>
        <c:tickLblPos val="high"/>
        <c:spPr>
          <a:ln w="9360">
            <a:solidFill>
              <a:srgbClr val="595959">
                <a:alpha val="60000"/>
              </a:srgbClr>
            </a:solidFill>
            <a:round/>
          </a:ln>
        </c:spPr>
        <c:txPr>
          <a:bodyPr/>
          <a:lstStyle/>
          <a:p>
            <a:pPr>
              <a:defRPr b="0" i="1" lang="pt-BR" sz="1200" spc="-1" strike="noStrike">
                <a:solidFill>
                  <a:srgbClr val="44546a"/>
                </a:solidFill>
                <a:latin typeface="Arial Narrow"/>
              </a:defRPr>
            </a:pPr>
          </a:p>
        </c:txPr>
        <c:crossAx val="2490557"/>
        <c:crosses val="min"/>
      </c:valAx>
      <c:spPr>
        <a:noFill/>
        <a:ln>
          <a:noFill/>
        </a:ln>
      </c:spPr>
    </c:plotArea>
    <c:plotVisOnly val="0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Saldo/2021</c:v>
                </c:pt>
              </c:strCache>
            </c:strRef>
          </c:tx>
          <c:spPr>
            <a:solidFill>
              <a:srgbClr val="203864"/>
            </a:solidFill>
            <a:ln>
              <a:noFill/>
            </a:ln>
          </c:spPr>
          <c:invertIfNegative val="0"/>
          <c:dPt>
            <c:idx val="1"/>
            <c:invertIfNegative val="0"/>
            <c:spPr>
              <a:solidFill>
                <a:srgbClr val="203864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203864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203864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203864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203864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203864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203864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203864"/>
              </a:solidFill>
              <a:ln>
                <a:noFill/>
              </a:ln>
            </c:spPr>
          </c:dPt>
          <c:dLbls>
            <c:numFmt formatCode="General" sourceLinked="1"/>
            <c:dLbl>
              <c:idx val="1"/>
              <c:txPr>
                <a:bodyPr/>
                <a:lstStyle/>
                <a:p>
                  <a:pPr>
                    <a:defRPr b="0" lang="pt-BR" sz="1300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lang="pt-BR" sz="1300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lang="pt-BR" sz="1300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lang="pt-BR" sz="1300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lang="pt-BR" sz="1300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lang="pt-BR" sz="1300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0" lang="pt-BR" sz="1300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lang="pt-BR" sz="1300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300" spc="-1" strike="noStrike">
                    <a:solidFill>
                      <a:srgbClr val="00206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Pessoal e Encargos Sociais</c:v>
                </c:pt>
                <c:pt idx="1">
                  <c:v>Juros e Encargos da Dívida</c:v>
                </c:pt>
                <c:pt idx="2">
                  <c:v>Transferência a Estados, DF e Municípios</c:v>
                </c:pt>
                <c:pt idx="3">
                  <c:v>Benefícios Previdenciários</c:v>
                </c:pt>
                <c:pt idx="4">
                  <c:v>Demais Despesas Correntes</c:v>
                </c:pt>
                <c:pt idx="5">
                  <c:v>Investimentos</c:v>
                </c:pt>
                <c:pt idx="6">
                  <c:v>Inversões Financeiras</c:v>
                </c:pt>
                <c:pt idx="7">
                  <c:v>Amortização da Dívida (Exceto Refinanciamento)</c:v>
                </c:pt>
                <c:pt idx="8">
                  <c:v>Amortização da Dívida (Refinanciamento)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Saldo/2020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00b0f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lang="pt-BR" sz="1300" spc="-1" strike="noStrike">
                      <a:solidFill>
                        <a:srgbClr val="00b0f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lang="pt-BR" sz="1300" spc="-1" strike="noStrike">
                      <a:solidFill>
                        <a:srgbClr val="00b0f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300" spc="-1" strike="noStrike">
                    <a:solidFill>
                      <a:srgbClr val="00b0f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Pessoal e Encargos Sociais</c:v>
                </c:pt>
                <c:pt idx="1">
                  <c:v>Juros e Encargos da Dívida</c:v>
                </c:pt>
                <c:pt idx="2">
                  <c:v>Transferência a Estados, DF e Municípios</c:v>
                </c:pt>
                <c:pt idx="3">
                  <c:v>Benefícios Previdenciários</c:v>
                </c:pt>
                <c:pt idx="4">
                  <c:v>Demais Despesas Correntes</c:v>
                </c:pt>
                <c:pt idx="5">
                  <c:v>Investimentos</c:v>
                </c:pt>
                <c:pt idx="6">
                  <c:v>Inversões Financeiras</c:v>
                </c:pt>
                <c:pt idx="7">
                  <c:v>Amortização da Dívida (Exceto Refinanciamento)</c:v>
                </c:pt>
                <c:pt idx="8">
                  <c:v>Amortização da Dívida (Refinanciamento)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9"/>
                <c:pt idx="0">
                  <c:v>246859.777035142</c:v>
                </c:pt>
                <c:pt idx="1">
                  <c:v>311287.87574123</c:v>
                </c:pt>
                <c:pt idx="2">
                  <c:v>348825.33679701</c:v>
                </c:pt>
                <c:pt idx="3">
                  <c:v>512480.54824748</c:v>
                </c:pt>
                <c:pt idx="4">
                  <c:v>466208.80050673</c:v>
                </c:pt>
                <c:pt idx="5">
                  <c:v>10758.6281540123</c:v>
                </c:pt>
                <c:pt idx="6">
                  <c:v>96353.62179724</c:v>
                </c:pt>
                <c:pt idx="7">
                  <c:v>267455.63973393</c:v>
                </c:pt>
                <c:pt idx="8">
                  <c:v>629872.43888744</c:v>
                </c:pt>
              </c:numCache>
            </c:numRef>
          </c:val>
        </c:ser>
        <c:gapWidth val="175"/>
        <c:overlap val="-25"/>
        <c:axId val="14745509"/>
        <c:axId val="60161879"/>
      </c:barChart>
      <c:catAx>
        <c:axId val="14745509"/>
        <c:scaling>
          <c:orientation val="maxMin"/>
        </c:scaling>
        <c:delete val="0"/>
        <c:axPos val="b"/>
        <c:numFmt formatCode="General" sourceLinked="0"/>
        <c:majorTickMark val="none"/>
        <c:minorTickMark val="in"/>
        <c:tickLblPos val="low"/>
        <c:spPr>
          <a:ln>
            <a:noFill/>
          </a:ln>
        </c:spPr>
        <c:txPr>
          <a:bodyPr/>
          <a:lstStyle/>
          <a:p>
            <a:pPr>
              <a:defRPr b="0" lang="pt-BR" sz="12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60161879"/>
        <c:crossesAt val="0"/>
        <c:auto val="1"/>
        <c:lblAlgn val="ctr"/>
        <c:lblOffset val="100"/>
      </c:catAx>
      <c:valAx>
        <c:axId val="60161879"/>
        <c:scaling>
          <c:min val="0.000000"/>
          <c:orientation val="minMax"/>
        </c:scaling>
        <c:delete val="0"/>
        <c:axPos val="l"/>
        <c:majorGridlines>
          <c:spPr>
            <a:ln w="6480">
              <a:solidFill>
                <a:srgbClr val="bfbfbf"/>
              </a:solidFill>
              <a:round/>
            </a:ln>
          </c:spPr>
        </c:majorGridlines>
        <c:numFmt formatCode="#,##0;\-#,##0" sourceLinked="0"/>
        <c:majorTickMark val="out"/>
        <c:minorTickMark val="none"/>
        <c:tickLblPos val="nextTo"/>
        <c:spPr>
          <a:ln w="316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2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14745509"/>
        <c:crosses val="max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Saldo/2021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pt-BR" sz="799" spc="-1" strike="noStrike">
                    <a:solidFill>
                      <a:srgbClr val="44546a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Pessoal e Encargos Sociais</c:v>
                </c:pt>
                <c:pt idx="1">
                  <c:v>Juros e Encargos da Dívida</c:v>
                </c:pt>
                <c:pt idx="2">
                  <c:v>Transferência a Estados, DF e Municípios</c:v>
                </c:pt>
                <c:pt idx="3">
                  <c:v>Benefícios Previdenciários</c:v>
                </c:pt>
                <c:pt idx="4">
                  <c:v>Demais Despesas Correntes</c:v>
                </c:pt>
                <c:pt idx="5">
                  <c:v>Investimentos</c:v>
                </c:pt>
                <c:pt idx="6">
                  <c:v>Inversões Financeiras</c:v>
                </c:pt>
                <c:pt idx="7">
                  <c:v>Amortização da Dívida (Exceto Refinanciamento)</c:v>
                </c:pt>
                <c:pt idx="8">
                  <c:v>Amortização da Dívida (Refinanciamento)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Empenhado</c:v>
                </c:pt>
              </c:strCache>
            </c:strRef>
          </c:tx>
          <c:spPr>
            <a:solidFill>
              <a:srgbClr val="bf900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bf900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bf9000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bf900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lang="pt-BR" sz="799" spc="-1" strike="noStrike">
                      <a:solidFill>
                        <a:srgbClr val="525252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lang="pt-BR" sz="799" spc="-1" strike="noStrike">
                      <a:solidFill>
                        <a:srgbClr val="525252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lang="pt-BR" sz="799" spc="-1" strike="noStrike">
                      <a:solidFill>
                        <a:srgbClr val="525252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799" spc="-1" strike="noStrike">
                    <a:solidFill>
                      <a:srgbClr val="525252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Pessoal e Encargos Sociais</c:v>
                </c:pt>
                <c:pt idx="1">
                  <c:v>Juros e Encargos da Dívida</c:v>
                </c:pt>
                <c:pt idx="2">
                  <c:v>Transferência a Estados, DF e Municípios</c:v>
                </c:pt>
                <c:pt idx="3">
                  <c:v>Benefícios Previdenciários</c:v>
                </c:pt>
                <c:pt idx="4">
                  <c:v>Demais Despesas Correntes</c:v>
                </c:pt>
                <c:pt idx="5">
                  <c:v>Investimentos</c:v>
                </c:pt>
                <c:pt idx="6">
                  <c:v>Inversões Financeiras</c:v>
                </c:pt>
                <c:pt idx="7">
                  <c:v>Amortização da Dívida (Exceto Refinanciamento)</c:v>
                </c:pt>
                <c:pt idx="8">
                  <c:v>Amortização da Dívida (Refinanciamento)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Pago</c:v>
                </c:pt>
              </c:strCache>
            </c:strRef>
          </c:tx>
          <c:spPr>
            <a:solidFill>
              <a:srgbClr val="843c0c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843c0c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843c0c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843c0c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lang="pt-BR" sz="799" spc="-1" strike="noStrike">
                      <a:solidFill>
                        <a:srgbClr val="385723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lang="pt-BR" sz="799" spc="-1" strike="noStrike">
                      <a:solidFill>
                        <a:srgbClr val="385723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lang="pt-BR" sz="799" spc="-1" strike="noStrike">
                      <a:solidFill>
                        <a:srgbClr val="385723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799" spc="-1" strike="noStrike">
                    <a:solidFill>
                      <a:srgbClr val="385723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Pessoal e Encargos Sociais</c:v>
                </c:pt>
                <c:pt idx="1">
                  <c:v>Juros e Encargos da Dívida</c:v>
                </c:pt>
                <c:pt idx="2">
                  <c:v>Transferência a Estados, DF e Municípios</c:v>
                </c:pt>
                <c:pt idx="3">
                  <c:v>Benefícios Previdenciários</c:v>
                </c:pt>
                <c:pt idx="4">
                  <c:v>Demais Despesas Correntes</c:v>
                </c:pt>
                <c:pt idx="5">
                  <c:v>Investimentos</c:v>
                </c:pt>
                <c:pt idx="6">
                  <c:v>Inversões Financeiras</c:v>
                </c:pt>
                <c:pt idx="7">
                  <c:v>Amortização da Dívida (Exceto Refinanciamento)</c:v>
                </c:pt>
                <c:pt idx="8">
                  <c:v>Amortização da Dívida (Refinanciamento)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gapWidth val="180"/>
        <c:overlap val="0"/>
        <c:axId val="63217262"/>
        <c:axId val="37371080"/>
      </c:barChart>
      <c:catAx>
        <c:axId val="6321726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b="0" lang="pt-BR" sz="11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37371080"/>
        <c:crossesAt val="0"/>
        <c:auto val="1"/>
        <c:lblAlgn val="ctr"/>
        <c:lblOffset val="100"/>
      </c:catAx>
      <c:valAx>
        <c:axId val="37371080"/>
        <c:scaling>
          <c:max val="1200000.000000"/>
          <c:min val="0.000000"/>
          <c:orientation val="minMax"/>
        </c:scaling>
        <c:delete val="0"/>
        <c:axPos val="l"/>
        <c:majorGridlines>
          <c:spPr>
            <a:ln w="6480">
              <a:solidFill>
                <a:srgbClr val="bfbfbf"/>
              </a:solidFill>
              <a:round/>
            </a:ln>
          </c:spPr>
        </c:majorGridlines>
        <c:numFmt formatCode="#,##0;\-#,##0" sourceLinked="0"/>
        <c:majorTickMark val="out"/>
        <c:minorTickMark val="none"/>
        <c:tickLblPos val="nextTo"/>
        <c:spPr>
          <a:ln w="316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63217262"/>
        <c:crosses val="max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Saldo/2021</c:v>
                </c:pt>
              </c:strCache>
            </c:strRef>
          </c:tx>
          <c:spPr>
            <a:solidFill>
              <a:srgbClr val="9dc3e6"/>
            </a:solidFill>
            <a:ln>
              <a:noFill/>
            </a:ln>
          </c:spPr>
          <c:invertIfNegative val="0"/>
          <c:dPt>
            <c:idx val="5"/>
            <c:invertIfNegative val="0"/>
            <c:spPr>
              <a:solidFill>
                <a:srgbClr val="9dc3e6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9dc3e6"/>
              </a:solidFill>
              <a:ln>
                <a:noFill/>
              </a:ln>
            </c:spPr>
          </c:dPt>
          <c:dLbls>
            <c:numFmt formatCode="General" sourceLinked="1"/>
            <c:dLbl>
              <c:idx val="5"/>
              <c:txPr>
                <a:bodyPr/>
                <a:lstStyle/>
                <a:p>
                  <a:pPr>
                    <a:defRPr b="1" lang="pt-BR" sz="1300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1" lang="pt-BR" sz="1300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lang="pt-BR" sz="1300" spc="-1" strike="noStrike">
                    <a:solidFill>
                      <a:srgbClr val="0070c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Pessoal e Encargos Sociais</c:v>
                </c:pt>
                <c:pt idx="1">
                  <c:v>Juros e Encargos da Dívida</c:v>
                </c:pt>
                <c:pt idx="2">
                  <c:v>Transferência a Estados, DF e Municípios</c:v>
                </c:pt>
                <c:pt idx="3">
                  <c:v>Benefícios Previdenciários</c:v>
                </c:pt>
                <c:pt idx="4">
                  <c:v>Demais Despesas Correntes</c:v>
                </c:pt>
                <c:pt idx="5">
                  <c:v>Investimentos</c:v>
                </c:pt>
                <c:pt idx="6">
                  <c:v>Inversões Financeiras</c:v>
                </c:pt>
                <c:pt idx="7">
                  <c:v>Amortização da Dívida (Exceto Refinanciamento)</c:v>
                </c:pt>
                <c:pt idx="8">
                  <c:v>Amortização da Dívida (Refinanciamento)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Pago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5"/>
            <c:invertIfNegative val="0"/>
            <c:spPr>
              <a:ln>
                <a:noFill/>
              </a:ln>
            </c:spPr>
          </c:dPt>
          <c:dPt>
            <c:idx val="6"/>
            <c:invertIfNegative val="0"/>
            <c:spPr>
              <a:ln>
                <a:noFill/>
              </a:ln>
            </c:spPr>
          </c:dPt>
          <c:dLbls>
            <c:numFmt formatCode="General" sourceLinked="1"/>
            <c:dLbl>
              <c:idx val="5"/>
              <c:txPr>
                <a:bodyPr/>
                <a:lstStyle/>
                <a:p>
                  <a:pPr>
                    <a:defRPr b="1" lang="pt-BR" sz="1300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1" lang="pt-BR" sz="1300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lang="pt-BR" sz="1300" spc="-1" strike="noStrike">
                    <a:solidFill>
                      <a:srgbClr val="002060"/>
                    </a:solidFill>
                    <a:latin typeface="Arial Narrow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9"/>
                <c:pt idx="0">
                  <c:v>Pessoal e Encargos Sociais</c:v>
                </c:pt>
                <c:pt idx="1">
                  <c:v>Juros e Encargos da Dívida</c:v>
                </c:pt>
                <c:pt idx="2">
                  <c:v>Transferência a Estados, DF e Municípios</c:v>
                </c:pt>
                <c:pt idx="3">
                  <c:v>Benefícios Previdenciários</c:v>
                </c:pt>
                <c:pt idx="4">
                  <c:v>Demais Despesas Correntes</c:v>
                </c:pt>
                <c:pt idx="5">
                  <c:v>Investimentos</c:v>
                </c:pt>
                <c:pt idx="6">
                  <c:v>Inversões Financeiras</c:v>
                </c:pt>
                <c:pt idx="7">
                  <c:v>Amortização da Dívida (Exceto Refinanciamento)</c:v>
                </c:pt>
                <c:pt idx="8">
                  <c:v>Amortização da Dívida (Refinanciamento)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gapWidth val="150"/>
        <c:overlap val="100"/>
        <c:axId val="82011729"/>
        <c:axId val="75659538"/>
      </c:barChart>
      <c:scatterChart>
        <c:scatterStyle val="line"/>
        <c:varyColors val="0"/>
        <c:ser>
          <c:idx val="2"/>
          <c:order val="2"/>
          <c:tx>
            <c:strRef>
              <c:f>label 4</c:f>
              <c:strCache>
                <c:ptCount val="1"/>
                <c:pt idx="0">
                  <c:v>Empenhado 2017</c:v>
                </c:pt>
              </c:strCache>
            </c:strRef>
          </c:tx>
          <c:spPr>
            <a:noFill/>
            <a:ln w="19080">
              <a:solidFill>
                <a:srgbClr val="5b9bd5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9"/>
                <c:pt idx="0">
                  <c:v>17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16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Juros e Encargos da Dívida</c:v>
                </c:pt>
              </c:strCache>
            </c:strRef>
          </c:tx>
          <c:spPr>
            <a:noFill/>
            <a:ln w="19080">
              <a:solidFill>
                <a:srgbClr val="5b9bd5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9"/>
                <c:pt idx="0">
                  <c:v>15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14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Transferência a Estados, DF e Municípios</c:v>
                </c:pt>
              </c:strCache>
            </c:strRef>
          </c:tx>
          <c:spPr>
            <a:noFill/>
            <a:ln w="19080">
              <a:solidFill>
                <a:srgbClr val="5b9bd5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9"/>
                <c:pt idx="0">
                  <c:v>13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12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label 10</c:f>
              <c:strCache>
                <c:ptCount val="1"/>
                <c:pt idx="0">
                  <c:v>Benefícios Previdenciários</c:v>
                </c:pt>
              </c:strCache>
            </c:strRef>
          </c:tx>
          <c:spPr>
            <a:noFill/>
            <a:ln w="19080">
              <a:solidFill>
                <a:srgbClr val="5b9bd5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10</c:f>
              <c:numCache>
                <c:formatCode>General</c:formatCode>
                <c:ptCount val="9"/>
                <c:pt idx="0">
                  <c:v>11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label 12</c:f>
              <c:strCache>
                <c:ptCount val="1"/>
                <c:pt idx="0">
                  <c:v>Demais Despesas Correntes</c:v>
                </c:pt>
              </c:strCache>
            </c:strRef>
          </c:tx>
          <c:spPr>
            <a:noFill/>
            <a:ln w="19080">
              <a:solidFill>
                <a:srgbClr val="5b9bd5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12</c:f>
              <c:numCache>
                <c:formatCode>General</c:formatCode>
                <c:ptCount val="9"/>
                <c:pt idx="0">
                  <c:v>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8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7"/>
          <c:order val="7"/>
          <c:tx>
            <c:strRef>
              <c:f>label 14</c:f>
              <c:strCache>
                <c:ptCount val="1"/>
                <c:pt idx="0">
                  <c:v>Investimentos</c:v>
                </c:pt>
              </c:strCache>
            </c:strRef>
          </c:tx>
          <c:spPr>
            <a:noFill/>
            <a:ln w="19080">
              <a:solidFill>
                <a:srgbClr val="5b9bd5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14</c:f>
              <c:numCache>
                <c:formatCode>General</c:formatCode>
                <c:ptCount val="9"/>
                <c:pt idx="0">
                  <c:v>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6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8"/>
          <c:order val="8"/>
          <c:tx>
            <c:strRef>
              <c:f>label 16</c:f>
              <c:strCache>
                <c:ptCount val="1"/>
                <c:pt idx="0">
                  <c:v>Inversões Financeiras</c:v>
                </c:pt>
              </c:strCache>
            </c:strRef>
          </c:tx>
          <c:spPr>
            <a:noFill/>
            <a:ln w="19080">
              <a:solidFill>
                <a:srgbClr val="5b9bd5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16</c:f>
              <c:numCache>
                <c:formatCode>General</c:formatCode>
                <c:ptCount val="9"/>
                <c:pt idx="0">
                  <c:v>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4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9"/>
          <c:order val="9"/>
          <c:tx>
            <c:strRef>
              <c:f>label 18</c:f>
              <c:strCache>
                <c:ptCount val="1"/>
                <c:pt idx="0">
                  <c:v>Amortização da Dívida (Exceto Refinanciamento)</c:v>
                </c:pt>
              </c:strCache>
            </c:strRef>
          </c:tx>
          <c:spPr>
            <a:noFill/>
            <a:ln w="19080">
              <a:solidFill>
                <a:srgbClr val="5b9bd5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18</c:f>
              <c:numCache>
                <c:formatCode>General</c:formatCode>
                <c:ptCount val="9"/>
                <c:pt idx="0">
                  <c:v>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2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10"/>
          <c:order val="10"/>
          <c:tx>
            <c:strRef>
              <c:f>label 20</c:f>
              <c:strCache>
                <c:ptCount val="1"/>
                <c:pt idx="0">
                  <c:v>Amortização da Dívida (Refinanciamento)</c:v>
                </c:pt>
              </c:strCache>
            </c:strRef>
          </c:tx>
          <c:spPr>
            <a:noFill/>
            <a:ln w="19080">
              <a:solidFill>
                <a:srgbClr val="5b9bd5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20</c:f>
              <c:numCache>
                <c:formatCode>General</c:formatCode>
                <c:ptCount val="9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11"/>
          <c:order val="11"/>
          <c:tx>
            <c:strRef>
              <c:f>label 22</c:f>
              <c:strCache>
                <c:ptCount val="1"/>
                <c:pt idx="0">
                  <c:v>Empenhado 2016</c:v>
                </c:pt>
              </c:strCache>
            </c:strRef>
          </c:tx>
          <c:spPr>
            <a:noFill/>
            <a:ln w="19080">
              <a:solidFill>
                <a:srgbClr val="c00000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21</c:f>
              <c:numCache>
                <c:formatCode>General</c:formatCode>
                <c:ptCount val="9"/>
                <c:pt idx="0">
                  <c:v>246859777.035142</c:v>
                </c:pt>
                <c:pt idx="1">
                  <c:v>246859777.035142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xVal>
          <c:yVal>
            <c:numRef>
              <c:f>22</c:f>
              <c:numCache>
                <c:formatCode>General</c:formatCode>
                <c:ptCount val="9"/>
                <c:pt idx="0">
                  <c:v>17</c:v>
                </c:pt>
                <c:pt idx="1">
                  <c:v>16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12"/>
          <c:order val="12"/>
          <c:tx>
            <c:strRef>
              <c:f>label 24</c:f>
              <c:strCache>
                <c:ptCount val="1"/>
                <c:pt idx="0">
                  <c:v>Série13</c:v>
                </c:pt>
              </c:strCache>
            </c:strRef>
          </c:tx>
          <c:spPr>
            <a:noFill/>
            <a:ln w="19080">
              <a:solidFill>
                <a:srgbClr val="c00000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23</c:f>
              <c:numCache>
                <c:formatCode>General</c:formatCode>
                <c:ptCount val="9"/>
                <c:pt idx="0">
                  <c:v>311287875.74123</c:v>
                </c:pt>
                <c:pt idx="1">
                  <c:v>311287875.74123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xVal>
          <c:yVal>
            <c:numRef>
              <c:f>24</c:f>
              <c:numCache>
                <c:formatCode>General</c:formatCode>
                <c:ptCount val="9"/>
                <c:pt idx="0">
                  <c:v>15</c:v>
                </c:pt>
                <c:pt idx="1">
                  <c:v>14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13"/>
          <c:order val="13"/>
          <c:tx>
            <c:strRef>
              <c:f>label 26</c:f>
              <c:strCache>
                <c:ptCount val="1"/>
                <c:pt idx="0">
                  <c:v>Série14</c:v>
                </c:pt>
              </c:strCache>
            </c:strRef>
          </c:tx>
          <c:spPr>
            <a:noFill/>
            <a:ln w="19080">
              <a:solidFill>
                <a:srgbClr val="c00000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25</c:f>
              <c:numCache>
                <c:formatCode>General</c:formatCode>
                <c:ptCount val="9"/>
                <c:pt idx="0">
                  <c:v>348825336.79701</c:v>
                </c:pt>
                <c:pt idx="1">
                  <c:v>348825336.79701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xVal>
          <c:yVal>
            <c:numRef>
              <c:f>26</c:f>
              <c:numCache>
                <c:formatCode>General</c:formatCode>
                <c:ptCount val="9"/>
                <c:pt idx="0">
                  <c:v>13</c:v>
                </c:pt>
                <c:pt idx="1">
                  <c:v>12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14"/>
          <c:order val="14"/>
          <c:tx>
            <c:strRef>
              <c:f>label 28</c:f>
              <c:strCache>
                <c:ptCount val="1"/>
                <c:pt idx="0">
                  <c:v>Série15</c:v>
                </c:pt>
              </c:strCache>
            </c:strRef>
          </c:tx>
          <c:spPr>
            <a:noFill/>
            <a:ln w="19080">
              <a:solidFill>
                <a:srgbClr val="c00000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27</c:f>
              <c:numCache>
                <c:formatCode>General</c:formatCode>
                <c:ptCount val="9"/>
                <c:pt idx="0">
                  <c:v>512480548.24748</c:v>
                </c:pt>
                <c:pt idx="1">
                  <c:v>512480548.24748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xVal>
          <c:yVal>
            <c:numRef>
              <c:f>28</c:f>
              <c:numCache>
                <c:formatCode>General</c:formatCode>
                <c:ptCount val="9"/>
                <c:pt idx="0">
                  <c:v>11</c:v>
                </c:pt>
                <c:pt idx="1">
                  <c:v>10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15"/>
          <c:order val="15"/>
          <c:tx>
            <c:strRef>
              <c:f>label 30</c:f>
              <c:strCache>
                <c:ptCount val="1"/>
                <c:pt idx="0">
                  <c:v>Série16</c:v>
                </c:pt>
              </c:strCache>
            </c:strRef>
          </c:tx>
          <c:spPr>
            <a:noFill/>
            <a:ln w="19080">
              <a:solidFill>
                <a:srgbClr val="c00000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29</c:f>
              <c:numCache>
                <c:formatCode>General</c:formatCode>
                <c:ptCount val="9"/>
                <c:pt idx="0">
                  <c:v>466208800.50673</c:v>
                </c:pt>
                <c:pt idx="1">
                  <c:v>466208800.50673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xVal>
          <c:yVal>
            <c:numRef>
              <c:f>30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16"/>
          <c:order val="16"/>
          <c:tx>
            <c:strRef>
              <c:f>label 32</c:f>
              <c:strCache>
                <c:ptCount val="1"/>
                <c:pt idx="0">
                  <c:v>Série17</c:v>
                </c:pt>
              </c:strCache>
            </c:strRef>
          </c:tx>
          <c:spPr>
            <a:noFill/>
            <a:ln w="19080">
              <a:solidFill>
                <a:srgbClr val="c00000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31</c:f>
              <c:numCache>
                <c:formatCode>General</c:formatCode>
                <c:ptCount val="9"/>
                <c:pt idx="0">
                  <c:v>10758628.1540123</c:v>
                </c:pt>
                <c:pt idx="1">
                  <c:v>10758628.1540123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xVal>
          <c:yVal>
            <c:numRef>
              <c:f>32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17"/>
          <c:order val="17"/>
          <c:tx>
            <c:strRef>
              <c:f>label 34</c:f>
              <c:strCache>
                <c:ptCount val="1"/>
                <c:pt idx="0">
                  <c:v>Série18</c:v>
                </c:pt>
              </c:strCache>
            </c:strRef>
          </c:tx>
          <c:spPr>
            <a:noFill/>
            <a:ln w="19080">
              <a:solidFill>
                <a:srgbClr val="c00000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33</c:f>
              <c:numCache>
                <c:formatCode>General</c:formatCode>
                <c:ptCount val="9"/>
                <c:pt idx="0">
                  <c:v>96353621.79724</c:v>
                </c:pt>
                <c:pt idx="1">
                  <c:v>96353621.79724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xVal>
          <c:yVal>
            <c:numRef>
              <c:f>34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18"/>
          <c:order val="18"/>
          <c:tx>
            <c:strRef>
              <c:f>label 36</c:f>
              <c:strCache>
                <c:ptCount val="1"/>
                <c:pt idx="0">
                  <c:v>Série19</c:v>
                </c:pt>
              </c:strCache>
            </c:strRef>
          </c:tx>
          <c:spPr>
            <a:noFill/>
            <a:ln w="19080">
              <a:solidFill>
                <a:srgbClr val="c00000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35</c:f>
              <c:numCache>
                <c:formatCode>General</c:formatCode>
                <c:ptCount val="9"/>
                <c:pt idx="0">
                  <c:v>267455639.73393</c:v>
                </c:pt>
                <c:pt idx="1">
                  <c:v>267455639.73393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xVal>
          <c:yVal>
            <c:numRef>
              <c:f>36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ser>
          <c:idx val="19"/>
          <c:order val="19"/>
          <c:tx>
            <c:strRef>
              <c:f>label 38</c:f>
              <c:strCache>
                <c:ptCount val="1"/>
                <c:pt idx="0">
                  <c:v>Série20</c:v>
                </c:pt>
              </c:strCache>
            </c:strRef>
          </c:tx>
          <c:spPr>
            <a:noFill/>
            <a:ln w="19080">
              <a:solidFill>
                <a:srgbClr val="c00000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37</c:f>
              <c:numCache>
                <c:formatCode>General</c:formatCode>
                <c:ptCount val="9"/>
                <c:pt idx="0">
                  <c:v>629872438.88744</c:v>
                </c:pt>
                <c:pt idx="1">
                  <c:v>629872438.88744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xVal>
          <c:yVal>
            <c:numRef>
              <c:f>38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axId val="88677365"/>
        <c:axId val="22274381"/>
      </c:scatterChart>
      <c:catAx>
        <c:axId val="82011729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b="0" lang="pt-BR" sz="13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75659538"/>
        <c:crossesAt val="0"/>
        <c:auto val="1"/>
        <c:lblAlgn val="ctr"/>
        <c:lblOffset val="100"/>
      </c:catAx>
      <c:valAx>
        <c:axId val="75659538"/>
        <c:scaling>
          <c:max val="1400000.000000"/>
          <c:min val="0.000000"/>
          <c:orientation val="minMax"/>
        </c:scaling>
        <c:delete val="0"/>
        <c:axPos val="l"/>
        <c:majorGridlines>
          <c:spPr>
            <a:ln w="6480">
              <a:solidFill>
                <a:srgbClr val="bfbfbf"/>
              </a:solidFill>
              <a:round/>
            </a:ln>
          </c:spPr>
        </c:majorGridlines>
        <c:numFmt formatCode="#,##0;\-#,##0" sourceLinked="0"/>
        <c:majorTickMark val="out"/>
        <c:minorTickMark val="none"/>
        <c:tickLblPos val="nextTo"/>
        <c:spPr>
          <a:ln w="316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3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82011729"/>
        <c:crosses val="max"/>
        <c:majorUnit val="200000"/>
      </c:valAx>
      <c:catAx>
        <c:axId val="88677365"/>
        <c:scaling>
          <c:orientation val="minMax"/>
        </c:scaling>
        <c:delete val="1"/>
        <c:axPos val="t"/>
        <c:numFmt formatCode="\ * 0\ ;\ * \(0\);\ * \-#\ ;\ @\ " sourceLinked="0"/>
        <c:majorTickMark val="out"/>
        <c:minorTickMark val="none"/>
        <c:tickLblPos val="nextTo"/>
        <c:spPr>
          <a:ln w="6480">
            <a:solidFill>
              <a:srgbClr val="898989"/>
            </a:solidFill>
            <a:round/>
          </a:ln>
        </c:spPr>
        <c:txPr>
          <a:bodyPr/>
          <a:lstStyle/>
          <a:p>
            <a:pPr>
              <a:defRPr b="0" lang="pt-BR" sz="1399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22274381"/>
        <c:crosses val="max"/>
        <c:auto val="1"/>
        <c:lblAlgn val="ctr"/>
        <c:lblOffset val="100"/>
      </c:catAx>
      <c:valAx>
        <c:axId val="22274381"/>
        <c:scaling>
          <c:max val="17.500000"/>
          <c:orientation val="minMax"/>
        </c:scaling>
        <c:delete val="1"/>
        <c:axPos val="r"/>
        <c:numFmt formatCode="\ * 0\ ;\ * \(0\);\ * \-#\ ;\ @\ " sourceLinked="0"/>
        <c:majorTickMark val="out"/>
        <c:minorTickMark val="none"/>
        <c:tickLblPos val="nextTo"/>
        <c:spPr>
          <a:ln w="6480">
            <a:solidFill>
              <a:srgbClr val="898989"/>
            </a:solidFill>
            <a:round/>
          </a:ln>
        </c:spPr>
        <c:txPr>
          <a:bodyPr/>
          <a:lstStyle/>
          <a:p>
            <a:pPr>
              <a:defRPr b="0" lang="pt-BR" sz="1399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88677365"/>
        <c:crosses val="min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Resultados_Primário_e_Nomin!$D$1</c:f>
              <c:strCache>
                <c:ptCount val="1"/>
                <c:pt idx="0">
                  <c:v>Até o mês de referência/2019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96000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4d39be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2d6e2d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960000"/>
              </a:solidFill>
              <a:ln>
                <a:noFill/>
              </a:ln>
            </c:spPr>
          </c:dPt>
          <c:dLbls>
            <c:numFmt formatCode="#,##0" sourceLinked="0"/>
            <c:dLbl>
              <c:idx val="0"/>
              <c:txPr>
                <a:bodyPr/>
                <a:lstStyle/>
                <a:p>
                  <a:pPr>
                    <a:defRPr b="0" lang="pt-BR" sz="1399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lang="pt-BR" sz="1399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lang="pt-BR" sz="1399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lang="pt-BR" sz="1399" spc="-1" strike="noStrike">
                      <a:solidFill>
                        <a:srgbClr val="ff000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399" spc="-1" strike="noStrike">
                    <a:solidFill>
                      <a:srgbClr val="ff000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Resultados_Primário_e_Nomin!$C$5:$C$8</c:f>
              <c:strCache>
                <c:ptCount val="4"/>
                <c:pt idx="0">
                  <c:v>Resultado Primário (a)</c:v>
                </c:pt>
                <c:pt idx="1">
                  <c:v>Juros Ativos (b)</c:v>
                </c:pt>
                <c:pt idx="2">
                  <c:v>Juros Passivos (c)</c:v>
                </c:pt>
                <c:pt idx="3">
                  <c:v>Resultado Nominal
(a) + (b) - (c)</c:v>
                </c:pt>
              </c:strCache>
            </c:strRef>
          </c:cat>
          <c:val>
            <c:numRef>
              <c:f>Resultados_Primário_e_Nomin!$D$5:$D$8</c:f>
              <c:numCache>
                <c:formatCode>General</c:formatCode>
                <c:ptCount val="4"/>
                <c:pt idx="0">
                  <c:v>-54087.504236037</c:v>
                </c:pt>
                <c:pt idx="1">
                  <c:v>264715.120781642</c:v>
                </c:pt>
                <c:pt idx="2">
                  <c:v>496288.09362109</c:v>
                </c:pt>
                <c:pt idx="3">
                  <c:v>-285660.477075485</c:v>
                </c:pt>
              </c:numCache>
            </c:numRef>
          </c:val>
        </c:ser>
        <c:ser>
          <c:idx val="1"/>
          <c:order val="1"/>
          <c:tx>
            <c:strRef>
              <c:f>Resultados_Primário_e_Nomin!$E$1</c:f>
              <c:strCache>
                <c:ptCount val="1"/>
                <c:pt idx="0">
                  <c:v>Até o mês de referência/2018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Resultados_Primário_e_Nomin!$C$5:$C$8</c:f>
              <c:strCache>
                <c:ptCount val="4"/>
                <c:pt idx="0">
                  <c:v>Resultado Primário (a)</c:v>
                </c:pt>
                <c:pt idx="1">
                  <c:v>Juros Ativos (b)</c:v>
                </c:pt>
                <c:pt idx="2">
                  <c:v>Juros Passivos (c)</c:v>
                </c:pt>
                <c:pt idx="3">
                  <c:v>Resultado Nominal
(a) + (b) - (c)</c:v>
                </c:pt>
              </c:strCache>
            </c:strRef>
          </c:cat>
          <c:val>
            <c:numRef>
              <c:f>Resultados_Primário_e_Nomin!$E$2:$E$5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34"/>
        <c:overlap val="100"/>
        <c:axId val="81135663"/>
        <c:axId val="69170834"/>
      </c:barChart>
      <c:catAx>
        <c:axId val="81135663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69170834"/>
        <c:crossesAt val="0"/>
        <c:auto val="1"/>
        <c:lblAlgn val="ctr"/>
        <c:lblOffset val="100"/>
      </c:catAx>
      <c:valAx>
        <c:axId val="69170834"/>
        <c:scaling>
          <c:max val="700000.000000"/>
          <c:min val="-295000.000000"/>
          <c:orientation val="minMax"/>
        </c:scaling>
        <c:delete val="0"/>
        <c:axPos val="l"/>
        <c:majorGridlines>
          <c:spPr>
            <a:ln w="6480">
              <a:solidFill>
                <a:srgbClr val="bfbfbf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6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81135663"/>
        <c:crosses val="max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spPr>
            <a:solidFill>
              <a:srgbClr val="843c0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Resultados_Primário_e_Nomin!$L$30:$L$31</c:f>
              <c:strCache>
                <c:ptCount val="2"/>
                <c:pt idx="0">
                  <c:v>Variação da Dívida Consolidada Líquida</c:v>
                </c:pt>
                <c:pt idx="1">
                  <c:v>Detalhamento da Variação</c:v>
                </c:pt>
              </c:strCache>
            </c:strRef>
          </c:cat>
          <c:val>
            <c:numRef>
              <c:f>Resultados_Primário_e_Nomin!$M$30:$M$31</c:f>
              <c:numCache>
                <c:formatCode>General</c:formatCode>
                <c:ptCount val="2"/>
                <c:pt idx="0">
                  <c:v>170044.158554679</c:v>
                </c:pt>
                <c:pt idx="1">
                  <c:v>257177.267483723</c:v>
                </c:pt>
              </c:numCache>
            </c:numRef>
          </c:val>
        </c:ser>
        <c:ser>
          <c:idx val="1"/>
          <c:order val="1"/>
          <c:spPr>
            <a:solidFill>
              <a:srgbClr val="c0000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0000"/>
                      </a:solidFill>
                      <a:latin typeface="Arial Narrow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0000"/>
                      </a:solidFill>
                      <a:latin typeface="Arial Narrow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Resultados_Primário_e_Nomin!$L$30:$L$31</c:f>
              <c:strCache>
                <c:ptCount val="2"/>
                <c:pt idx="0">
                  <c:v>Variação da Dívida Consolidada Líquida</c:v>
                </c:pt>
                <c:pt idx="1">
                  <c:v>Detalhamento da Variação</c:v>
                </c:pt>
              </c:strCache>
            </c:strRef>
          </c:cat>
          <c:val>
            <c:numRef>
              <c:f>Resultados_Primário_e_Nomin!$N$30:$N$31</c:f>
              <c:numCache>
                <c:formatCode>General</c:formatCode>
                <c:ptCount val="2"/>
                <c:pt idx="0">
                  <c:v>87133.1089290443</c:v>
                </c:pt>
                <c:pt idx="1">
                  <c:v>-87133.1089290443</c:v>
                </c:pt>
              </c:numCache>
            </c:numRef>
          </c:val>
        </c:ser>
        <c:ser>
          <c:idx val="2"/>
          <c:order val="2"/>
          <c:spPr>
            <a:solidFill>
              <a:srgbClr val="c00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Resultados_Primário_e_Nomin!$L$30:$L$31</c:f>
              <c:strCache>
                <c:ptCount val="2"/>
                <c:pt idx="0">
                  <c:v>Variação da Dívida Consolidada Líquida</c:v>
                </c:pt>
                <c:pt idx="1">
                  <c:v>Detalhamento da Variação</c:v>
                </c:pt>
              </c:strCache>
            </c:strRef>
          </c:cat>
          <c:val>
            <c:numRef>
              <c:f>Resultados_Primário_e_Nomin!$O$30:$O$31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gapWidth val="52"/>
        <c:overlap val="100"/>
        <c:axId val="71104999"/>
        <c:axId val="37481758"/>
      </c:barChart>
      <c:catAx>
        <c:axId val="71104999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37481758"/>
        <c:crossesAt val="0"/>
        <c:auto val="1"/>
        <c:lblAlgn val="ctr"/>
        <c:lblOffset val="100"/>
      </c:catAx>
      <c:valAx>
        <c:axId val="37481758"/>
        <c:scaling>
          <c:max val="80000.000000"/>
          <c:min val="0.000000"/>
          <c:orientation val="minMax"/>
        </c:scaling>
        <c:delete val="0"/>
        <c:axPos val="l"/>
        <c:majorGridlines>
          <c:spPr>
            <a:ln w="6480">
              <a:solidFill>
                <a:srgbClr val="bfbfbf"/>
              </a:solidFill>
              <a:round/>
            </a:ln>
          </c:spPr>
        </c:majorGridlines>
        <c:numFmt formatCode="#,##0;\-#,##0" sourceLinked="1"/>
        <c:majorTickMark val="out"/>
        <c:minorTickMark val="none"/>
        <c:tickLblPos val="nextTo"/>
        <c:spPr>
          <a:ln w="316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71104999"/>
        <c:crosses val="max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spPr>
            <a:solidFill>
              <a:srgbClr val="44546a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843c0c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1" lang="pt-BR" sz="1599" spc="-1" strike="noStrike">
                      <a:solidFill>
                        <a:srgbClr val="ffffff"/>
                      </a:solidFill>
                      <a:latin typeface="Arial Narrow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1" lang="pt-BR" sz="1599" spc="-1" strike="noStrike">
                      <a:solidFill>
                        <a:srgbClr val="ffffff"/>
                      </a:solidFill>
                      <a:latin typeface="Arial Narrow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lang="pt-BR" sz="1599" spc="-1" strike="noStrike">
                    <a:solidFill>
                      <a:srgbClr val="ffffff"/>
                    </a:solidFill>
                    <a:latin typeface="Arial Narrow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Resultados_Primário_e_Nomin!$L$33:$L$34</c:f>
              <c:strCache>
                <c:ptCount val="2"/>
                <c:pt idx="0">
                  <c:v>Receitas Primárias</c:v>
                </c:pt>
                <c:pt idx="1">
                  <c:v>Despesas Primárias</c:v>
                </c:pt>
              </c:strCache>
            </c:strRef>
          </c:cat>
          <c:val>
            <c:numRef>
              <c:f>Resultados_Primário_e_Nomin!$M$33:$M$34</c:f>
              <c:numCache>
                <c:formatCode>General</c:formatCode>
                <c:ptCount val="2"/>
                <c:pt idx="0">
                  <c:v>898909.90045069</c:v>
                </c:pt>
                <c:pt idx="1">
                  <c:v>952997.404686727</c:v>
                </c:pt>
              </c:numCache>
            </c:numRef>
          </c:val>
        </c:ser>
        <c:ser>
          <c:idx val="1"/>
          <c:order val="1"/>
          <c:spPr>
            <a:solidFill>
              <a:srgbClr val="385723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385723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1" lang="pt-BR" sz="1599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1" lang="pt-BR" sz="1599" spc="-1" strike="noStrike">
                      <a:solidFill>
                        <a:srgbClr val="385723"/>
                      </a:solidFill>
                      <a:latin typeface="Arial Narrow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lang="pt-BR" sz="1599" spc="-1" strike="noStrike">
                    <a:solidFill>
                      <a:srgbClr val="385723"/>
                    </a:solidFill>
                    <a:latin typeface="Arial Narrow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Resultados_Primário_e_Nomin!$L$33:$L$34</c:f>
              <c:strCache>
                <c:ptCount val="2"/>
                <c:pt idx="0">
                  <c:v>Receitas Primárias</c:v>
                </c:pt>
                <c:pt idx="1">
                  <c:v>Despesas Primárias</c:v>
                </c:pt>
              </c:strCache>
            </c:strRef>
          </c:cat>
          <c:val>
            <c:numRef>
              <c:f>Resultados_Primário_e_Nomin!$N$33:$N$34</c:f>
              <c:numCache>
                <c:formatCode>General</c:formatCode>
                <c:ptCount val="2"/>
                <c:pt idx="0">
                  <c:v>54087.504236037</c:v>
                </c:pt>
                <c:pt idx="1">
                  <c:v>-54087.504236037</c:v>
                </c:pt>
              </c:numCache>
            </c:numRef>
          </c:val>
        </c:ser>
        <c:gapWidth val="70"/>
        <c:overlap val="100"/>
        <c:axId val="27784346"/>
        <c:axId val="97594645"/>
      </c:barChart>
      <c:catAx>
        <c:axId val="2778434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97594645"/>
        <c:crossesAt val="0"/>
        <c:auto val="1"/>
        <c:lblAlgn val="ctr"/>
        <c:lblOffset val="100"/>
      </c:catAx>
      <c:valAx>
        <c:axId val="97594645"/>
        <c:scaling>
          <c:min val="600000.000000"/>
          <c:orientation val="minMax"/>
        </c:scaling>
        <c:delete val="0"/>
        <c:axPos val="l"/>
        <c:majorGridlines>
          <c:spPr>
            <a:ln w="6480">
              <a:solidFill>
                <a:srgbClr val="bfbfbf"/>
              </a:solidFill>
              <a:round/>
            </a:ln>
          </c:spPr>
        </c:majorGridlines>
        <c:numFmt formatCode="#,##0;\-#,##0" sourceLinked="1"/>
        <c:majorTickMark val="out"/>
        <c:minorTickMark val="none"/>
        <c:tickLblPos val="nextTo"/>
        <c:spPr>
          <a:ln w="316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27784346"/>
        <c:crosses val="max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Resultados_Primário_e_Nomin!$D$1</c:f>
              <c:strCache>
                <c:ptCount val="1"/>
                <c:pt idx="0">
                  <c:v>Até o mês de referência/2019</c:v>
                </c:pt>
              </c:strCache>
            </c:strRef>
          </c:tx>
          <c:spPr>
            <a:solidFill>
              <a:srgbClr val="44546a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843c0c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7f6000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Lbls>
            <c:numFmt formatCode="#,##0" sourceLinked="0"/>
            <c:dLbl>
              <c:idx val="0"/>
              <c:txPr>
                <a:bodyPr/>
                <a:lstStyle/>
                <a:p>
                  <a:pPr>
                    <a:defRPr b="1" lang="pt-BR" sz="1000" spc="-1" strike="noStrike">
                      <a:solidFill>
                        <a:srgbClr val="44546a"/>
                      </a:solidFill>
                      <a:latin typeface="Agency FB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1" lang="pt-BR" sz="1000" spc="-1" strike="noStrike">
                      <a:solidFill>
                        <a:srgbClr val="44546a"/>
                      </a:solidFill>
                      <a:latin typeface="Agency FB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1" lang="pt-BR" sz="1000" spc="-1" strike="noStrike">
                      <a:solidFill>
                        <a:srgbClr val="44546a"/>
                      </a:solidFill>
                      <a:latin typeface="Agency FB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1" lang="pt-BR" sz="1000" spc="-1" strike="noStrike">
                      <a:solidFill>
                        <a:srgbClr val="44546a"/>
                      </a:solidFill>
                      <a:latin typeface="Agency FB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1" lang="pt-BR" sz="1000" spc="-1" strike="noStrike">
                      <a:solidFill>
                        <a:srgbClr val="44546a"/>
                      </a:solidFill>
                      <a:latin typeface="Agency FB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lang="pt-BR" sz="1000" spc="-1" strike="noStrike">
                    <a:solidFill>
                      <a:srgbClr val="44546a"/>
                    </a:solidFill>
                    <a:latin typeface="Agency FB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Resultados_Primário_e_Nomin!$P$2:$P$6</c:f>
              <c:strCache>
                <c:ptCount val="5"/>
                <c:pt idx="0">
                  <c:v>Discrepâncias (d)</c:v>
                </c:pt>
                <c:pt idx="1">
                  <c:v>Demais Ajustes (c)</c:v>
                </c:pt>
                <c:pt idx="2">
                  <c:v>Variações Patrimoniais Aumentativas (b)</c:v>
                </c:pt>
                <c:pt idx="3">
                  <c:v>Variações Patrimoniais Diminutivas (a)</c:v>
                </c:pt>
                <c:pt idx="4">
                  <c:v>Ajustes
(a) - (b) + (c) + (d)</c:v>
                </c:pt>
              </c:strCache>
            </c:strRef>
          </c:cat>
          <c:val>
            <c:numRef>
              <c:f>Resultados_Primário_e_Nomin!$Q$2:$Q$6</c:f>
              <c:numCache>
                <c:formatCode>General</c:formatCode>
                <c:ptCount val="5"/>
                <c:pt idx="0">
                  <c:v>118708.985794173</c:v>
                </c:pt>
                <c:pt idx="1">
                  <c:v>130873.63641902</c:v>
                </c:pt>
                <c:pt idx="2">
                  <c:v>0</c:v>
                </c:pt>
                <c:pt idx="3">
                  <c:v>7594.64527053</c:v>
                </c:pt>
                <c:pt idx="4">
                  <c:v>257177.267483723</c:v>
                </c:pt>
              </c:numCache>
            </c:numRef>
          </c:val>
        </c:ser>
        <c:ser>
          <c:idx val="1"/>
          <c:order val="1"/>
          <c:tx>
            <c:strRef>
              <c:f>Resultados_Primário_e_Nomin!$E$1</c:f>
              <c:strCache>
                <c:ptCount val="1"/>
                <c:pt idx="0">
                  <c:v>Até o mês de referência/2018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numFmt formatCode="#,##0.00" sourceLinked="0"/>
            <c:txPr>
              <a:bodyPr/>
              <a:lstStyle/>
              <a:p>
                <a:pPr>
                  <a:defRPr b="1" lang="pt-BR" sz="1000" spc="-1" strike="noStrike">
                    <a:solidFill>
                      <a:srgbClr val="c00000"/>
                    </a:solidFill>
                    <a:latin typeface="Agency FB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Resultados_Primário_e_Nomin!$P$2:$P$6</c:f>
              <c:strCache>
                <c:ptCount val="5"/>
                <c:pt idx="0">
                  <c:v>Discrepâncias (d)</c:v>
                </c:pt>
                <c:pt idx="1">
                  <c:v>Demais Ajustes (c)</c:v>
                </c:pt>
                <c:pt idx="2">
                  <c:v>Variações Patrimoniais Aumentativas (b)</c:v>
                </c:pt>
                <c:pt idx="3">
                  <c:v>Variações Patrimoniais Diminutivas (a)</c:v>
                </c:pt>
                <c:pt idx="4">
                  <c:v>Ajustes
(a) - (b) + (c) + (d)</c:v>
                </c:pt>
              </c:strCache>
            </c:strRef>
          </c:cat>
          <c:val>
            <c:numRef>
              <c:f>Resultados_Primário_e_Nomin!$E$2:$E$5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0"/>
        <c:overlap val="100"/>
        <c:axId val="20010565"/>
        <c:axId val="70752227"/>
      </c:barChart>
      <c:catAx>
        <c:axId val="20010565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404040"/>
                </a:solidFill>
                <a:latin typeface="Agency FB"/>
              </a:defRPr>
            </a:pPr>
          </a:p>
        </c:txPr>
        <c:crossAx val="70752227"/>
        <c:crossesAt val="0"/>
        <c:auto val="1"/>
        <c:lblAlgn val="ctr"/>
        <c:lblOffset val="100"/>
      </c:catAx>
      <c:valAx>
        <c:axId val="70752227"/>
        <c:scaling>
          <c:orientation val="minMax"/>
        </c:scaling>
        <c:delete val="0"/>
        <c:axPos val="l"/>
        <c:majorGridlines>
          <c:spPr>
            <a:ln w="6480">
              <a:solidFill>
                <a:srgbClr val="bfbfbf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high"/>
        <c:spPr>
          <a:ln w="31680">
            <a:solidFill>
              <a:srgbClr val="a6a6a6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404040"/>
                </a:solidFill>
                <a:latin typeface="Agency FB"/>
              </a:defRPr>
            </a:pPr>
          </a:p>
        </c:txPr>
        <c:crossAx val="20010565"/>
        <c:crosses val="max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4546a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1f4e79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0000"/>
                      </a:solidFill>
                      <a:latin typeface="Arial Narrow"/>
                      <a:ea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0000"/>
                      </a:solidFill>
                      <a:latin typeface="Arial Narrow"/>
                      <a:ea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Arial Narrow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'Dez_-_Regra_de_Ouro'!$B$2:$B$3</c:f>
              <c:strCache>
                <c:ptCount val="2"/>
                <c:pt idx="0">
                  <c:v>Receitas de Operações de Crédito Consideradas</c:v>
                </c:pt>
                <c:pt idx="1">
                  <c:v>Despesas de Capital</c:v>
                </c:pt>
              </c:strCache>
            </c:strRef>
          </c:cat>
          <c:val>
            <c:numRef>
              <c:f>'Dez_-_Regra_de_Ouro'!$C$2:$C$3</c:f>
              <c:numCache>
                <c:formatCode>General</c:formatCode>
                <c:ptCount val="2"/>
                <c:pt idx="0">
                  <c:v>1559412.19121516</c:v>
                </c:pt>
                <c:pt idx="1">
                  <c:v>1212979.94233364</c:v>
                </c:pt>
              </c:numCache>
            </c:numRef>
          </c:val>
        </c:ser>
        <c:gapWidth val="84"/>
        <c:overlap val="-10"/>
        <c:axId val="10499000"/>
        <c:axId val="36935378"/>
      </c:barChart>
      <c:catAx>
        <c:axId val="1049900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  <a:ea typeface="Calibri"/>
              </a:defRPr>
            </a:pPr>
          </a:p>
        </c:txPr>
        <c:crossAx val="36935378"/>
        <c:crossesAt val="0"/>
        <c:auto val="1"/>
        <c:lblAlgn val="ctr"/>
        <c:lblOffset val="100"/>
      </c:catAx>
      <c:valAx>
        <c:axId val="36935378"/>
        <c:scaling>
          <c:min val="0.000000"/>
          <c:orientation val="minMax"/>
        </c:scaling>
        <c:delete val="0"/>
        <c:axPos val="l"/>
        <c:majorGridlines>
          <c:spPr>
            <a:ln w="6480">
              <a:solidFill>
                <a:srgbClr val="bfbfbf"/>
              </a:solidFill>
              <a:round/>
            </a:ln>
          </c:spPr>
        </c:majorGridlines>
        <c:numFmt formatCode="\ * 0\ ;\ * \(0\);\ * \-#\ ;\ @\ " sourceLinked="1"/>
        <c:majorTickMark val="out"/>
        <c:minorTickMark val="none"/>
        <c:tickLblPos val="nextTo"/>
        <c:spPr>
          <a:ln w="316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  <a:ea typeface="Calibri"/>
              </a:defRPr>
            </a:pPr>
          </a:p>
        </c:txPr>
        <c:crossAx val="10499000"/>
        <c:crosses val="max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marker val="0"/>
        <c:grouping val="standard"/>
        <c:varyColors val="0"/>
        <c:ser>
          <c:idx val="0"/>
          <c:order val="0"/>
          <c:tx>
            <c:strRef>
              <c:f>RCL!$L$34</c:f>
              <c:strCache>
                <c:ptCount val="1"/>
                <c:pt idx="0">
                  <c:v>Deduções / Receita (mês)</c:v>
                </c:pt>
              </c:strCache>
            </c:strRef>
          </c:tx>
          <c:spPr>
            <a:noFill/>
            <a:ln w="19080">
              <a:solidFill>
                <a:srgbClr val="5b9bd5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RCL!$M$1:$BG$1</c:f>
              <c:strCache>
                <c:ptCount val="47"/>
                <c:pt idx="0">
                  <c:v>dezembro-09</c:v>
                </c:pt>
                <c:pt idx="1">
                  <c:v>janeiro-10</c:v>
                </c:pt>
                <c:pt idx="2">
                  <c:v>fevereiro-10</c:v>
                </c:pt>
                <c:pt idx="3">
                  <c:v>março-10</c:v>
                </c:pt>
                <c:pt idx="4">
                  <c:v>abril-10</c:v>
                </c:pt>
                <c:pt idx="5">
                  <c:v>maio-10</c:v>
                </c:pt>
                <c:pt idx="6">
                  <c:v>junho-10</c:v>
                </c:pt>
                <c:pt idx="7">
                  <c:v>julho-10</c:v>
                </c:pt>
                <c:pt idx="8">
                  <c:v>agosto-10</c:v>
                </c:pt>
                <c:pt idx="9">
                  <c:v>setembro-10</c:v>
                </c:pt>
                <c:pt idx="10">
                  <c:v>outubro-10</c:v>
                </c:pt>
                <c:pt idx="11">
                  <c:v>novembro-10</c:v>
                </c:pt>
                <c:pt idx="12">
                  <c:v>dezembro-10</c:v>
                </c:pt>
                <c:pt idx="13">
                  <c:v>janeiro-11</c:v>
                </c:pt>
                <c:pt idx="14">
                  <c:v>fevereiro-11</c:v>
                </c:pt>
                <c:pt idx="15">
                  <c:v>março-11</c:v>
                </c:pt>
                <c:pt idx="16">
                  <c:v>abril-11</c:v>
                </c:pt>
                <c:pt idx="17">
                  <c:v>maio-11</c:v>
                </c:pt>
                <c:pt idx="18">
                  <c:v>junho-11</c:v>
                </c:pt>
                <c:pt idx="19">
                  <c:v>julho-11</c:v>
                </c:pt>
                <c:pt idx="20">
                  <c:v>agosto-11</c:v>
                </c:pt>
                <c:pt idx="21">
                  <c:v>setembro-11</c:v>
                </c:pt>
                <c:pt idx="22">
                  <c:v>outubro-11</c:v>
                </c:pt>
                <c:pt idx="23">
                  <c:v>novembro-11</c:v>
                </c:pt>
                <c:pt idx="24">
                  <c:v>dezembro-11</c:v>
                </c:pt>
                <c:pt idx="25">
                  <c:v>janeiro-12</c:v>
                </c:pt>
                <c:pt idx="26">
                  <c:v>fevereiro-12</c:v>
                </c:pt>
                <c:pt idx="27">
                  <c:v>março-12</c:v>
                </c:pt>
                <c:pt idx="28">
                  <c:v>abril-12</c:v>
                </c:pt>
                <c:pt idx="29">
                  <c:v>maio-12</c:v>
                </c:pt>
                <c:pt idx="30">
                  <c:v>junho-12</c:v>
                </c:pt>
                <c:pt idx="31">
                  <c:v>julho-12</c:v>
                </c:pt>
                <c:pt idx="32">
                  <c:v>agosto-12</c:v>
                </c:pt>
                <c:pt idx="33">
                  <c:v>setembro-12</c:v>
                </c:pt>
                <c:pt idx="34">
                  <c:v>outubro-12</c:v>
                </c:pt>
                <c:pt idx="35">
                  <c:v>novembro-12</c:v>
                </c:pt>
                <c:pt idx="36">
                  <c:v>dezembro-12</c:v>
                </c:pt>
                <c:pt idx="37">
                  <c:v>janeiro-13</c:v>
                </c:pt>
                <c:pt idx="38">
                  <c:v>fevereiro-13</c:v>
                </c:pt>
                <c:pt idx="39">
                  <c:v>março-13</c:v>
                </c:pt>
                <c:pt idx="40">
                  <c:v>abril-13</c:v>
                </c:pt>
                <c:pt idx="41">
                  <c:v>maio-13</c:v>
                </c:pt>
                <c:pt idx="42">
                  <c:v>junho-13</c:v>
                </c:pt>
                <c:pt idx="43">
                  <c:v>julho-13</c:v>
                </c:pt>
                <c:pt idx="44">
                  <c:v>agosto-13</c:v>
                </c:pt>
                <c:pt idx="45">
                  <c:v>setembro-13</c:v>
                </c:pt>
                <c:pt idx="46">
                  <c:v>outubro-13</c:v>
                </c:pt>
              </c:strCache>
            </c:strRef>
          </c:cat>
          <c:val>
            <c:numRef>
              <c:f>RCL!$M$34:$BG$34</c:f>
              <c:numCache>
                <c:formatCode>General</c:formatCode>
                <c:ptCount val="47"/>
                <c:pt idx="0">
                  <c:v>0.598627734752787</c:v>
                </c:pt>
                <c:pt idx="1">
                  <c:v>0.336814079530079</c:v>
                </c:pt>
                <c:pt idx="2">
                  <c:v>0.53218799615753</c:v>
                </c:pt>
                <c:pt idx="3">
                  <c:v>0.403076604307669</c:v>
                </c:pt>
                <c:pt idx="4">
                  <c:v>0.310404155867036</c:v>
                </c:pt>
                <c:pt idx="5">
                  <c:v>0.507923576151272</c:v>
                </c:pt>
                <c:pt idx="6">
                  <c:v>0.473536429844098</c:v>
                </c:pt>
                <c:pt idx="7">
                  <c:v>0.37611862311786</c:v>
                </c:pt>
                <c:pt idx="8">
                  <c:v>0.433893466559316</c:v>
                </c:pt>
                <c:pt idx="9">
                  <c:v>0.381872518073933</c:v>
                </c:pt>
                <c:pt idx="10">
                  <c:v>0.431707815844207</c:v>
                </c:pt>
                <c:pt idx="11">
                  <c:v>0.457324672938118</c:v>
                </c:pt>
                <c:pt idx="12">
                  <c:v>0.604040777203049</c:v>
                </c:pt>
                <c:pt idx="13">
                  <c:v>0.378227222981492</c:v>
                </c:pt>
                <c:pt idx="14">
                  <c:v>0.545323491194977</c:v>
                </c:pt>
                <c:pt idx="15">
                  <c:v>0.329615235512801</c:v>
                </c:pt>
                <c:pt idx="16">
                  <c:v>0.407985421530094</c:v>
                </c:pt>
                <c:pt idx="17">
                  <c:v>0.493369449434193</c:v>
                </c:pt>
                <c:pt idx="18">
                  <c:v>0.46012439416034</c:v>
                </c:pt>
                <c:pt idx="19">
                  <c:v>0.373268267718269</c:v>
                </c:pt>
                <c:pt idx="20">
                  <c:v>0.499515566652766</c:v>
                </c:pt>
                <c:pt idx="21">
                  <c:v>0.434215596318351</c:v>
                </c:pt>
                <c:pt idx="22">
                  <c:v>0.435623792042954</c:v>
                </c:pt>
                <c:pt idx="23">
                  <c:v>0.500182803054</c:v>
                </c:pt>
                <c:pt idx="24">
                  <c:v>0.636428792687778</c:v>
                </c:pt>
                <c:pt idx="25">
                  <c:v>0.343067683970156</c:v>
                </c:pt>
                <c:pt idx="26">
                  <c:v>0.493249116996427</c:v>
                </c:pt>
                <c:pt idx="27">
                  <c:v>0.439497589608459</c:v>
                </c:pt>
                <c:pt idx="28">
                  <c:v>0.415825320504695</c:v>
                </c:pt>
                <c:pt idx="29">
                  <c:v>0.521847760235217</c:v>
                </c:pt>
                <c:pt idx="30">
                  <c:v>0.480623769349306</c:v>
                </c:pt>
                <c:pt idx="31">
                  <c:v>0.351756986245089</c:v>
                </c:pt>
                <c:pt idx="32">
                  <c:v>0.489382873496433</c:v>
                </c:pt>
                <c:pt idx="33">
                  <c:v>0.439043122090776</c:v>
                </c:pt>
                <c:pt idx="34">
                  <c:v>0.412502849449674</c:v>
                </c:pt>
                <c:pt idx="35">
                  <c:v>0.537745555039103</c:v>
                </c:pt>
                <c:pt idx="36">
                  <c:v>0.590460756496497</c:v>
                </c:pt>
                <c:pt idx="37">
                  <c:v>0.339338388746798</c:v>
                </c:pt>
                <c:pt idx="38">
                  <c:v>0.614444663216564</c:v>
                </c:pt>
                <c:pt idx="39">
                  <c:v>0.469833843577419</c:v>
                </c:pt>
                <c:pt idx="40">
                  <c:v>0.354919072084405</c:v>
                </c:pt>
                <c:pt idx="41">
                  <c:v>0.504737436131592</c:v>
                </c:pt>
                <c:pt idx="42">
                  <c:v>0.466065394793435</c:v>
                </c:pt>
                <c:pt idx="43">
                  <c:v>0.386007941608125</c:v>
                </c:pt>
                <c:pt idx="44">
                  <c:v>0.498217460927126</c:v>
                </c:pt>
                <c:pt idx="45">
                  <c:v>0.459491054230954</c:v>
                </c:pt>
                <c:pt idx="46">
                  <c:v>0.416212542976594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RCL!$L$35</c:f>
              <c:strCache>
                <c:ptCount val="1"/>
                <c:pt idx="0">
                  <c:v>Deduções / Receita (12m)</c:v>
                </c:pt>
              </c:strCache>
            </c:strRef>
          </c:tx>
          <c:spPr>
            <a:noFill/>
            <a:ln w="19080">
              <a:solidFill>
                <a:srgbClr val="ed7d31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RCL!$M$1:$BG$1</c:f>
              <c:strCache>
                <c:ptCount val="47"/>
                <c:pt idx="0">
                  <c:v>dezembro-09</c:v>
                </c:pt>
                <c:pt idx="1">
                  <c:v>janeiro-10</c:v>
                </c:pt>
                <c:pt idx="2">
                  <c:v>fevereiro-10</c:v>
                </c:pt>
                <c:pt idx="3">
                  <c:v>março-10</c:v>
                </c:pt>
                <c:pt idx="4">
                  <c:v>abril-10</c:v>
                </c:pt>
                <c:pt idx="5">
                  <c:v>maio-10</c:v>
                </c:pt>
                <c:pt idx="6">
                  <c:v>junho-10</c:v>
                </c:pt>
                <c:pt idx="7">
                  <c:v>julho-10</c:v>
                </c:pt>
                <c:pt idx="8">
                  <c:v>agosto-10</c:v>
                </c:pt>
                <c:pt idx="9">
                  <c:v>setembro-10</c:v>
                </c:pt>
                <c:pt idx="10">
                  <c:v>outubro-10</c:v>
                </c:pt>
                <c:pt idx="11">
                  <c:v>novembro-10</c:v>
                </c:pt>
                <c:pt idx="12">
                  <c:v>dezembro-10</c:v>
                </c:pt>
                <c:pt idx="13">
                  <c:v>janeiro-11</c:v>
                </c:pt>
                <c:pt idx="14">
                  <c:v>fevereiro-11</c:v>
                </c:pt>
                <c:pt idx="15">
                  <c:v>março-11</c:v>
                </c:pt>
                <c:pt idx="16">
                  <c:v>abril-11</c:v>
                </c:pt>
                <c:pt idx="17">
                  <c:v>maio-11</c:v>
                </c:pt>
                <c:pt idx="18">
                  <c:v>junho-11</c:v>
                </c:pt>
                <c:pt idx="19">
                  <c:v>julho-11</c:v>
                </c:pt>
                <c:pt idx="20">
                  <c:v>agosto-11</c:v>
                </c:pt>
                <c:pt idx="21">
                  <c:v>setembro-11</c:v>
                </c:pt>
                <c:pt idx="22">
                  <c:v>outubro-11</c:v>
                </c:pt>
                <c:pt idx="23">
                  <c:v>novembro-11</c:v>
                </c:pt>
                <c:pt idx="24">
                  <c:v>dezembro-11</c:v>
                </c:pt>
                <c:pt idx="25">
                  <c:v>janeiro-12</c:v>
                </c:pt>
                <c:pt idx="26">
                  <c:v>fevereiro-12</c:v>
                </c:pt>
                <c:pt idx="27">
                  <c:v>março-12</c:v>
                </c:pt>
                <c:pt idx="28">
                  <c:v>abril-12</c:v>
                </c:pt>
                <c:pt idx="29">
                  <c:v>maio-12</c:v>
                </c:pt>
                <c:pt idx="30">
                  <c:v>junho-12</c:v>
                </c:pt>
                <c:pt idx="31">
                  <c:v>julho-12</c:v>
                </c:pt>
                <c:pt idx="32">
                  <c:v>agosto-12</c:v>
                </c:pt>
                <c:pt idx="33">
                  <c:v>setembro-12</c:v>
                </c:pt>
                <c:pt idx="34">
                  <c:v>outubro-12</c:v>
                </c:pt>
                <c:pt idx="35">
                  <c:v>novembro-12</c:v>
                </c:pt>
                <c:pt idx="36">
                  <c:v>dezembro-12</c:v>
                </c:pt>
                <c:pt idx="37">
                  <c:v>janeiro-13</c:v>
                </c:pt>
                <c:pt idx="38">
                  <c:v>fevereiro-13</c:v>
                </c:pt>
                <c:pt idx="39">
                  <c:v>março-13</c:v>
                </c:pt>
                <c:pt idx="40">
                  <c:v>abril-13</c:v>
                </c:pt>
                <c:pt idx="41">
                  <c:v>maio-13</c:v>
                </c:pt>
                <c:pt idx="42">
                  <c:v>junho-13</c:v>
                </c:pt>
                <c:pt idx="43">
                  <c:v>julho-13</c:v>
                </c:pt>
                <c:pt idx="44">
                  <c:v>agosto-13</c:v>
                </c:pt>
                <c:pt idx="45">
                  <c:v>setembro-13</c:v>
                </c:pt>
                <c:pt idx="46">
                  <c:v>outubro-13</c:v>
                </c:pt>
              </c:strCache>
            </c:strRef>
          </c:cat>
          <c:val>
            <c:numRef>
              <c:f>RCL!$M$35:$BG$35</c:f>
              <c:numCache>
                <c:formatCode>General</c:formatCode>
                <c:ptCount val="47"/>
                <c:pt idx="0">
                  <c:v>0.436167641896609</c:v>
                </c:pt>
                <c:pt idx="1">
                  <c:v>0.43146310369989</c:v>
                </c:pt>
                <c:pt idx="2">
                  <c:v>0.433523046143428</c:v>
                </c:pt>
                <c:pt idx="3">
                  <c:v>0.43469733395781</c:v>
                </c:pt>
                <c:pt idx="4">
                  <c:v>0.425096542565261</c:v>
                </c:pt>
                <c:pt idx="5">
                  <c:v>0.427403226382268</c:v>
                </c:pt>
                <c:pt idx="6">
                  <c:v>0.42679836557311</c:v>
                </c:pt>
                <c:pt idx="7">
                  <c:v>0.431176955088206</c:v>
                </c:pt>
                <c:pt idx="8">
                  <c:v>0.433215919925108</c:v>
                </c:pt>
                <c:pt idx="9">
                  <c:v>0.427741401544791</c:v>
                </c:pt>
                <c:pt idx="10">
                  <c:v>0.432244218038232</c:v>
                </c:pt>
                <c:pt idx="11">
                  <c:v>0.434314517613418</c:v>
                </c:pt>
                <c:pt idx="12">
                  <c:v>0.438438584783521</c:v>
                </c:pt>
                <c:pt idx="13">
                  <c:v>0.440731456035978</c:v>
                </c:pt>
                <c:pt idx="14">
                  <c:v>0.442773308276545</c:v>
                </c:pt>
                <c:pt idx="15">
                  <c:v>0.436000479887551</c:v>
                </c:pt>
                <c:pt idx="16">
                  <c:v>0.44395076201115</c:v>
                </c:pt>
                <c:pt idx="17">
                  <c:v>0.443545144819318</c:v>
                </c:pt>
                <c:pt idx="18">
                  <c:v>0.442975395279604</c:v>
                </c:pt>
                <c:pt idx="19">
                  <c:v>0.441318790042248</c:v>
                </c:pt>
                <c:pt idx="20">
                  <c:v>0.446419192862819</c:v>
                </c:pt>
                <c:pt idx="21">
                  <c:v>0.450258602667013</c:v>
                </c:pt>
                <c:pt idx="22">
                  <c:v>0.450328116803207</c:v>
                </c:pt>
                <c:pt idx="23">
                  <c:v>0.453708685903193</c:v>
                </c:pt>
                <c:pt idx="24">
                  <c:v>0.457362977406513</c:v>
                </c:pt>
                <c:pt idx="25">
                  <c:v>0.452291127235072</c:v>
                </c:pt>
                <c:pt idx="26">
                  <c:v>0.449317289723181</c:v>
                </c:pt>
                <c:pt idx="27">
                  <c:v>0.457473590968326</c:v>
                </c:pt>
                <c:pt idx="28">
                  <c:v>0.457847252727702</c:v>
                </c:pt>
                <c:pt idx="29">
                  <c:v>0.460188420996081</c:v>
                </c:pt>
                <c:pt idx="30">
                  <c:v>0.461760673368578</c:v>
                </c:pt>
                <c:pt idx="31">
                  <c:v>0.457932745423869</c:v>
                </c:pt>
                <c:pt idx="32">
                  <c:v>0.457408462517869</c:v>
                </c:pt>
                <c:pt idx="33">
                  <c:v>0.457712942443871</c:v>
                </c:pt>
                <c:pt idx="34">
                  <c:v>0.455645890933212</c:v>
                </c:pt>
                <c:pt idx="35">
                  <c:v>0.458767216678313</c:v>
                </c:pt>
                <c:pt idx="36">
                  <c:v>0.456310986333947</c:v>
                </c:pt>
                <c:pt idx="37">
                  <c:v>0.454713300939043</c:v>
                </c:pt>
                <c:pt idx="38">
                  <c:v>0.463099020918722</c:v>
                </c:pt>
                <c:pt idx="39">
                  <c:v>0.465436250239552</c:v>
                </c:pt>
                <c:pt idx="40">
                  <c:v>0.459503772644041</c:v>
                </c:pt>
                <c:pt idx="41">
                  <c:v>0.458660784250561</c:v>
                </c:pt>
                <c:pt idx="42">
                  <c:v>0.457690267759931</c:v>
                </c:pt>
                <c:pt idx="43">
                  <c:v>0.461768627577894</c:v>
                </c:pt>
                <c:pt idx="44">
                  <c:v>0.462594176830303</c:v>
                </c:pt>
                <c:pt idx="45">
                  <c:v>0.464064359855589</c:v>
                </c:pt>
                <c:pt idx="46">
                  <c:v>0.464076956950759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axId val="1122481"/>
        <c:axId val="30784864"/>
      </c:lineChart>
      <c:catAx>
        <c:axId val="11224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6480">
            <a:solidFill>
              <a:srgbClr val="898989"/>
            </a:solidFill>
            <a:round/>
          </a:ln>
        </c:spPr>
        <c:txPr>
          <a:bodyPr/>
          <a:lstStyle/>
          <a:p>
            <a:pPr>
              <a:defRPr b="0" lang="pt-BR" sz="799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784864"/>
        <c:crossesAt val="0"/>
        <c:auto val="1"/>
        <c:lblAlgn val="ctr"/>
        <c:lblOffset val="100"/>
      </c:catAx>
      <c:valAx>
        <c:axId val="30784864"/>
        <c:scaling>
          <c:orientation val="minMax"/>
        </c:scaling>
        <c:delete val="0"/>
        <c:axPos val="l"/>
        <c:majorGridlines>
          <c:spPr>
            <a:ln w="6480">
              <a:solidFill>
                <a:srgbClr val="898989"/>
              </a:solidFill>
              <a:round/>
            </a:ln>
          </c:spPr>
        </c:majorGridlines>
        <c:numFmt formatCode="0.00%" sourceLinked="1"/>
        <c:majorTickMark val="out"/>
        <c:minorTickMark val="none"/>
        <c:tickLblPos val="nextTo"/>
        <c:spPr>
          <a:ln w="6480">
            <a:solidFill>
              <a:srgbClr val="898989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22481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388864934784952"/>
          <c:y val="0.91384066201525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pt-BR" sz="799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6480">
      <a:solidFill>
        <a:srgbClr val="898989"/>
      </a:solidFill>
      <a:round/>
    </a:ln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RCL!$L$27</c:f>
              <c:strCache>
                <c:ptCount val="1"/>
                <c:pt idx="0">
                  <c:v>RCL</c:v>
                </c:pt>
              </c:strCache>
            </c:strRef>
          </c:tx>
          <c:spPr>
            <a:noFill/>
            <a:ln>
              <a:noFill/>
            </a:ln>
          </c:spPr>
          <c:marker>
            <c:symbol val="dash"/>
            <c:size val="10"/>
            <c:spPr>
              <a:solidFill>
                <a:srgbClr val="99ccff"/>
              </a:solidFill>
            </c:spPr>
          </c:marker>
          <c:dPt>
            <c:idx val="1"/>
            <c:spPr>
              <a:noFill/>
              <a:ln>
                <a:noFill/>
              </a:ln>
            </c:spPr>
          </c:dPt>
          <c:dPt>
            <c:idx val="5"/>
            <c:spPr>
              <a:noFill/>
              <a:ln>
                <a:noFill/>
              </a:ln>
            </c:spPr>
          </c:dPt>
          <c:dPt>
            <c:idx val="9"/>
            <c:spPr>
              <a:noFill/>
              <a:ln>
                <a:noFill/>
              </a:ln>
            </c:spPr>
          </c:dPt>
          <c:dPt>
            <c:idx val="13"/>
            <c:spPr>
              <a:noFill/>
              <a:ln>
                <a:noFill/>
              </a:ln>
            </c:spPr>
          </c:dPt>
          <c:dPt>
            <c:idx val="17"/>
            <c:spPr>
              <a:noFill/>
              <a:ln>
                <a:noFill/>
              </a:ln>
            </c:spPr>
          </c:dPt>
          <c:dPt>
            <c:idx val="21"/>
            <c:spPr>
              <a:noFill/>
              <a:ln>
                <a:noFill/>
              </a:ln>
            </c:spPr>
          </c:dPt>
          <c:dPt>
            <c:idx val="23"/>
            <c:spPr>
              <a:noFill/>
              <a:ln>
                <a:noFill/>
              </a:ln>
            </c:spPr>
          </c:dPt>
          <c:dPt>
            <c:idx val="25"/>
            <c:spPr>
              <a:noFill/>
              <a:ln>
                <a:noFill/>
              </a:ln>
            </c:spPr>
          </c:dPt>
          <c:dPt>
            <c:idx val="27"/>
            <c:spPr>
              <a:noFill/>
              <a:ln>
                <a:noFill/>
              </a:ln>
            </c:spPr>
          </c:dPt>
          <c:dPt>
            <c:idx val="29"/>
            <c:spPr>
              <a:noFill/>
              <a:ln>
                <a:noFill/>
              </a:ln>
            </c:spPr>
          </c:dPt>
          <c:dPt>
            <c:idx val="31"/>
            <c:spPr>
              <a:noFill/>
              <a:ln>
                <a:noFill/>
              </a:ln>
            </c:spPr>
          </c:dPt>
          <c:dPt>
            <c:idx val="33"/>
            <c:spPr>
              <a:noFill/>
              <a:ln>
                <a:noFill/>
              </a:ln>
            </c:spPr>
          </c:dPt>
          <c:dPt>
            <c:idx val="35"/>
            <c:spPr>
              <a:noFill/>
              <a:ln>
                <a:noFill/>
              </a:ln>
            </c:spPr>
          </c:dPt>
          <c:dPt>
            <c:idx val="37"/>
            <c:spPr>
              <a:noFill/>
              <a:ln>
                <a:noFill/>
              </a:ln>
            </c:spPr>
          </c:dPt>
          <c:dPt>
            <c:idx val="39"/>
            <c:spPr>
              <a:noFill/>
              <a:ln>
                <a:noFill/>
              </a:ln>
            </c:spPr>
          </c:dPt>
          <c:dPt>
            <c:idx val="41"/>
            <c:spPr>
              <a:noFill/>
              <a:ln>
                <a:noFill/>
              </a:ln>
            </c:spPr>
          </c:dPt>
          <c:dPt>
            <c:idx val="43"/>
            <c:spPr>
              <a:noFill/>
              <a:ln>
                <a:noFill/>
              </a:ln>
            </c:spPr>
          </c:dPt>
          <c:dPt>
            <c:idx val="45"/>
            <c:spPr>
              <a:noFill/>
              <a:ln>
                <a:noFill/>
              </a:ln>
            </c:spPr>
          </c:dPt>
          <c:dPt>
            <c:idx val="47"/>
            <c:spPr>
              <a:noFill/>
              <a:ln>
                <a:noFill/>
              </a:ln>
            </c:spPr>
          </c:dPt>
          <c:dPt>
            <c:idx val="49"/>
            <c:spPr>
              <a:noFill/>
              <a:ln>
                <a:noFill/>
              </a:ln>
            </c:spPr>
          </c:dPt>
          <c:dPt>
            <c:idx val="51"/>
            <c:spPr>
              <a:noFill/>
              <a:ln>
                <a:noFill/>
              </a:ln>
            </c:spPr>
          </c:dPt>
          <c:dPt>
            <c:idx val="53"/>
            <c:spPr>
              <a:noFill/>
              <a:ln>
                <a:noFill/>
              </a:ln>
            </c:spPr>
          </c:dPt>
          <c:dPt>
            <c:idx val="55"/>
            <c:spPr>
              <a:noFill/>
              <a:ln>
                <a:noFill/>
              </a:ln>
            </c:spPr>
          </c:dPt>
          <c:dPt>
            <c:idx val="59"/>
            <c:spPr>
              <a:noFill/>
              <a:ln>
                <a:noFill/>
              </a:ln>
            </c:spPr>
          </c:dPt>
          <c:dPt>
            <c:idx val="63"/>
            <c:spPr>
              <a:noFill/>
              <a:ln>
                <a:noFill/>
              </a:ln>
            </c:spPr>
          </c:dPt>
          <c:dPt>
            <c:idx val="67"/>
            <c:spPr>
              <a:noFill/>
              <a:ln>
                <a:noFill/>
              </a:ln>
            </c:spPr>
          </c:dPt>
          <c:dPt>
            <c:idx val="71"/>
            <c:spPr>
              <a:noFill/>
              <a:ln>
                <a:noFill/>
              </a:ln>
            </c:spPr>
          </c:dPt>
          <c:dPt>
            <c:idx val="75"/>
            <c:spPr>
              <a:noFill/>
              <a:ln>
                <a:noFill/>
              </a:ln>
            </c:spPr>
          </c:dPt>
          <c:dLbls>
            <c:numFmt formatCode="General" sourceLinked="1"/>
            <c:dLbl>
              <c:idx val="1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7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1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3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5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7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9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1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3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5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7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9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1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3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5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7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</c:dLbl>
            <c:dLbl>
              <c:idx val="49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1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3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5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9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63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67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71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75"/>
              <c:txPr>
                <a:bodyPr/>
                <a:lstStyle/>
                <a:p>
                  <a:pPr>
                    <a:defRPr b="1" lang="pt-BR" sz="1100" spc="-1" strike="noStrike">
                      <a:solidFill>
                        <a:srgbClr val="00b0f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lang="pt-BR" sz="1100" spc="-1" strike="noStrike">
                    <a:solidFill>
                      <a:srgbClr val="00b0f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RCL!$AD$26:$DF$26</c:f>
              <c:strCache>
                <c:ptCount val="81"/>
                <c:pt idx="0">
                  <c:v>mai/11</c:v>
                </c:pt>
                <c:pt idx="1">
                  <c:v>jun/11</c:v>
                </c:pt>
                <c:pt idx="2">
                  <c:v>jul/11</c:v>
                </c:pt>
                <c:pt idx="3">
                  <c:v>ago/11</c:v>
                </c:pt>
                <c:pt idx="4">
                  <c:v>set/11</c:v>
                </c:pt>
                <c:pt idx="5">
                  <c:v>out/11</c:v>
                </c:pt>
                <c:pt idx="6">
                  <c:v>nov/11</c:v>
                </c:pt>
                <c:pt idx="7">
                  <c:v>dez/11</c:v>
                </c:pt>
                <c:pt idx="8">
                  <c:v>jan/12</c:v>
                </c:pt>
                <c:pt idx="9">
                  <c:v>fev/12</c:v>
                </c:pt>
                <c:pt idx="10">
                  <c:v>mar/12</c:v>
                </c:pt>
                <c:pt idx="11">
                  <c:v>abr/12</c:v>
                </c:pt>
                <c:pt idx="12">
                  <c:v>mai/12</c:v>
                </c:pt>
                <c:pt idx="13">
                  <c:v>jun/12</c:v>
                </c:pt>
                <c:pt idx="14">
                  <c:v>jul/12</c:v>
                </c:pt>
                <c:pt idx="15">
                  <c:v>ago/12</c:v>
                </c:pt>
                <c:pt idx="16">
                  <c:v>set/12</c:v>
                </c:pt>
                <c:pt idx="17">
                  <c:v>out/12</c:v>
                </c:pt>
                <c:pt idx="18">
                  <c:v>nov/12</c:v>
                </c:pt>
                <c:pt idx="19">
                  <c:v>dez/12</c:v>
                </c:pt>
                <c:pt idx="20">
                  <c:v>jan/13</c:v>
                </c:pt>
                <c:pt idx="21">
                  <c:v>fev/13</c:v>
                </c:pt>
                <c:pt idx="22">
                  <c:v>mar/13</c:v>
                </c:pt>
                <c:pt idx="23">
                  <c:v>abr/13</c:v>
                </c:pt>
                <c:pt idx="24">
                  <c:v>mai/13</c:v>
                </c:pt>
                <c:pt idx="25">
                  <c:v>jun/13</c:v>
                </c:pt>
                <c:pt idx="26">
                  <c:v>jul/13</c:v>
                </c:pt>
                <c:pt idx="27">
                  <c:v>ago/13</c:v>
                </c:pt>
                <c:pt idx="28">
                  <c:v>set/13</c:v>
                </c:pt>
                <c:pt idx="29">
                  <c:v>out/13</c:v>
                </c:pt>
                <c:pt idx="30">
                  <c:v>nov/13</c:v>
                </c:pt>
                <c:pt idx="31">
                  <c:v>dez/13</c:v>
                </c:pt>
                <c:pt idx="32">
                  <c:v>jan/14</c:v>
                </c:pt>
                <c:pt idx="33">
                  <c:v>fev/14</c:v>
                </c:pt>
                <c:pt idx="34">
                  <c:v>mar/14</c:v>
                </c:pt>
                <c:pt idx="35">
                  <c:v>abr/14</c:v>
                </c:pt>
                <c:pt idx="36">
                  <c:v>mai/14</c:v>
                </c:pt>
                <c:pt idx="37">
                  <c:v>jun/14</c:v>
                </c:pt>
                <c:pt idx="38">
                  <c:v>jul/14</c:v>
                </c:pt>
                <c:pt idx="39">
                  <c:v>ago/14</c:v>
                </c:pt>
                <c:pt idx="40">
                  <c:v>set/14</c:v>
                </c:pt>
                <c:pt idx="41">
                  <c:v>out/14</c:v>
                </c:pt>
                <c:pt idx="42">
                  <c:v>nov/14</c:v>
                </c:pt>
                <c:pt idx="43">
                  <c:v>dez/14</c:v>
                </c:pt>
                <c:pt idx="44">
                  <c:v>jan/15</c:v>
                </c:pt>
                <c:pt idx="45">
                  <c:v>fev/15</c:v>
                </c:pt>
                <c:pt idx="46">
                  <c:v>mar/15</c:v>
                </c:pt>
                <c:pt idx="47">
                  <c:v>abr/15</c:v>
                </c:pt>
                <c:pt idx="48">
                  <c:v>mai/15</c:v>
                </c:pt>
                <c:pt idx="49">
                  <c:v>jun/15</c:v>
                </c:pt>
                <c:pt idx="50">
                  <c:v>jul/15</c:v>
                </c:pt>
                <c:pt idx="51">
                  <c:v>ago/15</c:v>
                </c:pt>
                <c:pt idx="52">
                  <c:v>set/15</c:v>
                </c:pt>
                <c:pt idx="53">
                  <c:v>out/15</c:v>
                </c:pt>
                <c:pt idx="54">
                  <c:v>nov/15</c:v>
                </c:pt>
                <c:pt idx="55">
                  <c:v>dez/15</c:v>
                </c:pt>
                <c:pt idx="56">
                  <c:v>jan/16</c:v>
                </c:pt>
                <c:pt idx="57">
                  <c:v>fev/16</c:v>
                </c:pt>
                <c:pt idx="58">
                  <c:v>mar/16</c:v>
                </c:pt>
                <c:pt idx="59">
                  <c:v>abr/16</c:v>
                </c:pt>
                <c:pt idx="60">
                  <c:v>mai/16</c:v>
                </c:pt>
                <c:pt idx="61">
                  <c:v>jun/16</c:v>
                </c:pt>
                <c:pt idx="62">
                  <c:v>jul/16</c:v>
                </c:pt>
                <c:pt idx="63">
                  <c:v>ago/16</c:v>
                </c:pt>
                <c:pt idx="64">
                  <c:v>set/16</c:v>
                </c:pt>
                <c:pt idx="65">
                  <c:v>out/16</c:v>
                </c:pt>
                <c:pt idx="66">
                  <c:v>nov/16</c:v>
                </c:pt>
                <c:pt idx="67">
                  <c:v>dez/16</c:v>
                </c:pt>
                <c:pt idx="68">
                  <c:v>jan/17</c:v>
                </c:pt>
                <c:pt idx="69">
                  <c:v>fev/17</c:v>
                </c:pt>
                <c:pt idx="70">
                  <c:v>mar/17</c:v>
                </c:pt>
                <c:pt idx="71">
                  <c:v>abr/17</c:v>
                </c:pt>
                <c:pt idx="72">
                  <c:v>mai/17</c:v>
                </c:pt>
                <c:pt idx="73">
                  <c:v>jun/17</c:v>
                </c:pt>
                <c:pt idx="74">
                  <c:v>jul/17</c:v>
                </c:pt>
                <c:pt idx="75">
                  <c:v>ago/17</c:v>
                </c:pt>
                <c:pt idx="76">
                  <c:v>set/17</c:v>
                </c:pt>
                <c:pt idx="77">
                  <c:v>out/17</c:v>
                </c:pt>
                <c:pt idx="78">
                  <c:v>nov/17</c:v>
                </c:pt>
                <c:pt idx="79">
                  <c:v>dez/17</c:v>
                </c:pt>
                <c:pt idx="80">
                  <c:v>jan/18</c:v>
                </c:pt>
              </c:strCache>
            </c:strRef>
          </c:cat>
          <c:val>
            <c:numRef>
              <c:f>RCL!$AD$27:$DF$27</c:f>
              <c:numCache>
                <c:formatCode>General</c:formatCode>
                <c:ptCount val="8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552733062590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558706386600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581850483280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600187794660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616933348520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621158840250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625461566520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656094217900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678292443260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>676655839900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641578197330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>642507277656.93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>656857642623.16</c:v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674522742049.7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>697243153828.91</c:v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>687788905643.78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>709929574506.58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>718531431018.81</c:v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>730531081798.36</c:v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>727254324382.05</c:v>
                </c:pt>
                <c:pt idx="8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RCL!$L$28</c:f>
              <c:strCache>
                <c:ptCount val="1"/>
                <c:pt idx="0">
                  <c:v>RCL Quadr</c:v>
                </c:pt>
              </c:strCache>
            </c:strRef>
          </c:tx>
          <c:spPr>
            <a:noFill/>
            <a:ln>
              <a:noFill/>
            </a:ln>
          </c:spPr>
          <c:marker>
            <c:symbol val="dash"/>
            <c:size val="10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RCL!$AD$26:$DF$26</c:f>
              <c:strCache>
                <c:ptCount val="81"/>
                <c:pt idx="0">
                  <c:v>mai/11</c:v>
                </c:pt>
                <c:pt idx="1">
                  <c:v>jun/11</c:v>
                </c:pt>
                <c:pt idx="2">
                  <c:v>jul/11</c:v>
                </c:pt>
                <c:pt idx="3">
                  <c:v>ago/11</c:v>
                </c:pt>
                <c:pt idx="4">
                  <c:v>set/11</c:v>
                </c:pt>
                <c:pt idx="5">
                  <c:v>out/11</c:v>
                </c:pt>
                <c:pt idx="6">
                  <c:v>nov/11</c:v>
                </c:pt>
                <c:pt idx="7">
                  <c:v>dez/11</c:v>
                </c:pt>
                <c:pt idx="8">
                  <c:v>jan/12</c:v>
                </c:pt>
                <c:pt idx="9">
                  <c:v>fev/12</c:v>
                </c:pt>
                <c:pt idx="10">
                  <c:v>mar/12</c:v>
                </c:pt>
                <c:pt idx="11">
                  <c:v>abr/12</c:v>
                </c:pt>
                <c:pt idx="12">
                  <c:v>mai/12</c:v>
                </c:pt>
                <c:pt idx="13">
                  <c:v>jun/12</c:v>
                </c:pt>
                <c:pt idx="14">
                  <c:v>jul/12</c:v>
                </c:pt>
                <c:pt idx="15">
                  <c:v>ago/12</c:v>
                </c:pt>
                <c:pt idx="16">
                  <c:v>set/12</c:v>
                </c:pt>
                <c:pt idx="17">
                  <c:v>out/12</c:v>
                </c:pt>
                <c:pt idx="18">
                  <c:v>nov/12</c:v>
                </c:pt>
                <c:pt idx="19">
                  <c:v>dez/12</c:v>
                </c:pt>
                <c:pt idx="20">
                  <c:v>jan/13</c:v>
                </c:pt>
                <c:pt idx="21">
                  <c:v>fev/13</c:v>
                </c:pt>
                <c:pt idx="22">
                  <c:v>mar/13</c:v>
                </c:pt>
                <c:pt idx="23">
                  <c:v>abr/13</c:v>
                </c:pt>
                <c:pt idx="24">
                  <c:v>mai/13</c:v>
                </c:pt>
                <c:pt idx="25">
                  <c:v>jun/13</c:v>
                </c:pt>
                <c:pt idx="26">
                  <c:v>jul/13</c:v>
                </c:pt>
                <c:pt idx="27">
                  <c:v>ago/13</c:v>
                </c:pt>
                <c:pt idx="28">
                  <c:v>set/13</c:v>
                </c:pt>
                <c:pt idx="29">
                  <c:v>out/13</c:v>
                </c:pt>
                <c:pt idx="30">
                  <c:v>nov/13</c:v>
                </c:pt>
                <c:pt idx="31">
                  <c:v>dez/13</c:v>
                </c:pt>
                <c:pt idx="32">
                  <c:v>jan/14</c:v>
                </c:pt>
                <c:pt idx="33">
                  <c:v>fev/14</c:v>
                </c:pt>
                <c:pt idx="34">
                  <c:v>mar/14</c:v>
                </c:pt>
                <c:pt idx="35">
                  <c:v>abr/14</c:v>
                </c:pt>
                <c:pt idx="36">
                  <c:v>mai/14</c:v>
                </c:pt>
                <c:pt idx="37">
                  <c:v>jun/14</c:v>
                </c:pt>
                <c:pt idx="38">
                  <c:v>jul/14</c:v>
                </c:pt>
                <c:pt idx="39">
                  <c:v>ago/14</c:v>
                </c:pt>
                <c:pt idx="40">
                  <c:v>set/14</c:v>
                </c:pt>
                <c:pt idx="41">
                  <c:v>out/14</c:v>
                </c:pt>
                <c:pt idx="42">
                  <c:v>nov/14</c:v>
                </c:pt>
                <c:pt idx="43">
                  <c:v>dez/14</c:v>
                </c:pt>
                <c:pt idx="44">
                  <c:v>jan/15</c:v>
                </c:pt>
                <c:pt idx="45">
                  <c:v>fev/15</c:v>
                </c:pt>
                <c:pt idx="46">
                  <c:v>mar/15</c:v>
                </c:pt>
                <c:pt idx="47">
                  <c:v>abr/15</c:v>
                </c:pt>
                <c:pt idx="48">
                  <c:v>mai/15</c:v>
                </c:pt>
                <c:pt idx="49">
                  <c:v>jun/15</c:v>
                </c:pt>
                <c:pt idx="50">
                  <c:v>jul/15</c:v>
                </c:pt>
                <c:pt idx="51">
                  <c:v>ago/15</c:v>
                </c:pt>
                <c:pt idx="52">
                  <c:v>set/15</c:v>
                </c:pt>
                <c:pt idx="53">
                  <c:v>out/15</c:v>
                </c:pt>
                <c:pt idx="54">
                  <c:v>nov/15</c:v>
                </c:pt>
                <c:pt idx="55">
                  <c:v>dez/15</c:v>
                </c:pt>
                <c:pt idx="56">
                  <c:v>jan/16</c:v>
                </c:pt>
                <c:pt idx="57">
                  <c:v>fev/16</c:v>
                </c:pt>
                <c:pt idx="58">
                  <c:v>mar/16</c:v>
                </c:pt>
                <c:pt idx="59">
                  <c:v>abr/16</c:v>
                </c:pt>
                <c:pt idx="60">
                  <c:v>mai/16</c:v>
                </c:pt>
                <c:pt idx="61">
                  <c:v>jun/16</c:v>
                </c:pt>
                <c:pt idx="62">
                  <c:v>jul/16</c:v>
                </c:pt>
                <c:pt idx="63">
                  <c:v>ago/16</c:v>
                </c:pt>
                <c:pt idx="64">
                  <c:v>set/16</c:v>
                </c:pt>
                <c:pt idx="65">
                  <c:v>out/16</c:v>
                </c:pt>
                <c:pt idx="66">
                  <c:v>nov/16</c:v>
                </c:pt>
                <c:pt idx="67">
                  <c:v>dez/16</c:v>
                </c:pt>
                <c:pt idx="68">
                  <c:v>jan/17</c:v>
                </c:pt>
                <c:pt idx="69">
                  <c:v>fev/17</c:v>
                </c:pt>
                <c:pt idx="70">
                  <c:v>mar/17</c:v>
                </c:pt>
                <c:pt idx="71">
                  <c:v>abr/17</c:v>
                </c:pt>
                <c:pt idx="72">
                  <c:v>mai/17</c:v>
                </c:pt>
                <c:pt idx="73">
                  <c:v>jun/17</c:v>
                </c:pt>
                <c:pt idx="74">
                  <c:v>jul/17</c:v>
                </c:pt>
                <c:pt idx="75">
                  <c:v>ago/17</c:v>
                </c:pt>
                <c:pt idx="76">
                  <c:v>set/17</c:v>
                </c:pt>
                <c:pt idx="77">
                  <c:v>out/17</c:v>
                </c:pt>
                <c:pt idx="78">
                  <c:v>nov/17</c:v>
                </c:pt>
                <c:pt idx="79">
                  <c:v>dez/17</c:v>
                </c:pt>
                <c:pt idx="80">
                  <c:v>jan/18</c:v>
                </c:pt>
              </c:strCache>
            </c:strRef>
          </c:cat>
          <c:val>
            <c:numRef>
              <c:f>RCL!$AD$28:$DF$28</c:f>
              <c:numCache>
                <c:formatCode>General</c:formatCode>
                <c:ptCount val="81"/>
                <c:pt idx="0">
                  <c:v>531489671250</c:v>
                </c:pt>
                <c:pt idx="1">
                  <c:v>541701420250</c:v>
                </c:pt>
                <c:pt idx="2">
                  <c:v>554780239600</c:v>
                </c:pt>
                <c:pt idx="3">
                  <c:v/>
                </c:pt>
                <c:pt idx="4">
                  <c:v>552514911840</c:v>
                </c:pt>
                <c:pt idx="5">
                  <c:v>560898744770</c:v>
                </c:pt>
                <c:pt idx="6">
                  <c:v>561010042890</c:v>
                </c:pt>
                <c:pt idx="7">
                  <c:v/>
                </c:pt>
                <c:pt idx="8">
                  <c:v>572686423130</c:v>
                </c:pt>
                <c:pt idx="9">
                  <c:v>581874803950</c:v>
                </c:pt>
                <c:pt idx="10">
                  <c:v>578126233280</c:v>
                </c:pt>
                <c:pt idx="11">
                  <c:v/>
                </c:pt>
                <c:pt idx="12">
                  <c:v>581448742990</c:v>
                </c:pt>
                <c:pt idx="13">
                  <c:v>581212664840</c:v>
                </c:pt>
                <c:pt idx="14">
                  <c:v>595942496790</c:v>
                </c:pt>
                <c:pt idx="15">
                  <c:v/>
                </c:pt>
                <c:pt idx="16">
                  <c:v>601542625320</c:v>
                </c:pt>
                <c:pt idx="17">
                  <c:v>606227873000</c:v>
                </c:pt>
                <c:pt idx="18">
                  <c:v>605995749880</c:v>
                </c:pt>
                <c:pt idx="19">
                  <c:v/>
                </c:pt>
                <c:pt idx="20">
                  <c:v>625290407180</c:v>
                </c:pt>
                <c:pt idx="21">
                  <c:v>615364719100</c:v>
                </c:pt>
                <c:pt idx="22">
                  <c:v>610572987500</c:v>
                </c:pt>
                <c:pt idx="23">
                  <c:v/>
                </c:pt>
                <c:pt idx="24">
                  <c:v>627565683430</c:v>
                </c:pt>
                <c:pt idx="25">
                  <c:v>633920234100</c:v>
                </c:pt>
                <c:pt idx="26">
                  <c:v>623321002930</c:v>
                </c:pt>
                <c:pt idx="27">
                  <c:v/>
                </c:pt>
                <c:pt idx="28">
                  <c:v>626794758550</c:v>
                </c:pt>
                <c:pt idx="29">
                  <c:v>630576168910</c:v>
                </c:pt>
                <c:pt idx="30">
                  <c:v>650280970720</c:v>
                </c:pt>
                <c:pt idx="31">
                  <c:v/>
                </c:pt>
                <c:pt idx="32">
                  <c:v>664302538860</c:v>
                </c:pt>
                <c:pt idx="33">
                  <c:v>671161346730</c:v>
                </c:pt>
                <c:pt idx="34">
                  <c:v>680579569340</c:v>
                </c:pt>
                <c:pt idx="35">
                  <c:v/>
                </c:pt>
                <c:pt idx="36">
                  <c:v>674078866900</c:v>
                </c:pt>
                <c:pt idx="37">
                  <c:v>673848828070</c:v>
                </c:pt>
                <c:pt idx="38">
                  <c:v>672076723370</c:v>
                </c:pt>
                <c:pt idx="39">
                  <c:v/>
                </c:pt>
                <c:pt idx="40">
                  <c:v>674487506670</c:v>
                </c:pt>
                <c:pt idx="41">
                  <c:v>674306980130</c:v>
                </c:pt>
                <c:pt idx="42">
                  <c:v>661618800010</c:v>
                </c:pt>
                <c:pt idx="43">
                  <c:v/>
                </c:pt>
                <c:pt idx="44">
                  <c:v>638747066926.32</c:v>
                </c:pt>
                <c:pt idx="45">
                  <c:v>640327249269.81</c:v>
                </c:pt>
                <c:pt idx="46">
                  <c:v>643351950487.61</c:v>
                </c:pt>
                <c:pt idx="47">
                  <c:v/>
                </c:pt>
                <c:pt idx="48">
                  <c:v>651105707539.95</c:v>
                </c:pt>
                <c:pt idx="49">
                  <c:v>653077026820.34</c:v>
                </c:pt>
                <c:pt idx="50">
                  <c:v>657163414037.14</c:v>
                </c:pt>
                <c:pt idx="51">
                  <c:v/>
                </c:pt>
                <c:pt idx="52">
                  <c:v>663634527735.49</c:v>
                </c:pt>
                <c:pt idx="53">
                  <c:v>663593321583.47</c:v>
                </c:pt>
                <c:pt idx="54">
                  <c:v>662084375953.68</c:v>
                </c:pt>
                <c:pt idx="55">
                  <c:v/>
                </c:pt>
                <c:pt idx="56">
                  <c:v>693234369781.24</c:v>
                </c:pt>
                <c:pt idx="57">
                  <c:v>692204807293.67</c:v>
                </c:pt>
                <c:pt idx="58">
                  <c:v>693683802117.94</c:v>
                </c:pt>
                <c:pt idx="59">
                  <c:v/>
                </c:pt>
                <c:pt idx="60">
                  <c:v>689667753164.94</c:v>
                </c:pt>
                <c:pt idx="61">
                  <c:v>690361936973.11</c:v>
                </c:pt>
                <c:pt idx="62">
                  <c:v>691546151921.13</c:v>
                </c:pt>
                <c:pt idx="63">
                  <c:v/>
                </c:pt>
                <c:pt idx="64">
                  <c:v>683134252347.87</c:v>
                </c:pt>
                <c:pt idx="65">
                  <c:v>725265345497.51</c:v>
                </c:pt>
                <c:pt idx="66">
                  <c:v>722278652178.61</c:v>
                </c:pt>
                <c:pt idx="67">
                  <c:v/>
                </c:pt>
                <c:pt idx="68">
                  <c:v>715063804886.95</c:v>
                </c:pt>
                <c:pt idx="69">
                  <c:v>714985428563.24</c:v>
                </c:pt>
                <c:pt idx="70">
                  <c:v>715287678137.71</c:v>
                </c:pt>
                <c:pt idx="71">
                  <c:v/>
                </c:pt>
                <c:pt idx="72">
                  <c:v>720653415310.26</c:v>
                </c:pt>
                <c:pt idx="73">
                  <c:v>723241295616.01</c:v>
                </c:pt>
                <c:pt idx="74">
                  <c:v>720289328583.77</c:v>
                </c:pt>
                <c:pt idx="75">
                  <c:v/>
                </c:pt>
                <c:pt idx="76">
                  <c:v>738360746916.24</c:v>
                </c:pt>
                <c:pt idx="77">
                  <c:v>705607666145.77</c:v>
                </c:pt>
                <c:pt idx="78">
                  <c:v>730386417447.33</c:v>
                </c:pt>
                <c:pt idx="79">
                  <c:v/>
                </c:pt>
                <c:pt idx="80">
                  <c:v>730408423191.12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axId val="20520644"/>
        <c:axId val="43878396"/>
      </c:lineChart>
      <c:catAx>
        <c:axId val="20520644"/>
        <c:scaling>
          <c:orientation val="minMax"/>
          <c:max val="43132"/>
          <c:min val="41061"/>
        </c:scaling>
        <c:delete val="0"/>
        <c:axPos val="b"/>
        <c:numFmt formatCode="MMM/YY" sourceLinked="1"/>
        <c:majorTickMark val="cross"/>
        <c:minorTickMark val="none"/>
        <c:tickLblPos val="low"/>
        <c:spPr>
          <a:ln w="316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049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878396"/>
        <c:crossesAt val="0"/>
        <c:auto val="1"/>
        <c:lblAlgn val="ctr"/>
        <c:lblOffset val="100"/>
        <c:majorUnit val="2"/>
      </c:catAx>
      <c:valAx>
        <c:axId val="43878396"/>
        <c:scaling>
          <c:min val="600000000000.000000"/>
          <c:orientation val="minMax"/>
        </c:scaling>
        <c:delete val="0"/>
        <c:axPos val="l"/>
        <c:majorGridlines>
          <c:spPr>
            <a:ln w="6480">
              <a:solidFill>
                <a:srgbClr val="bfbfbf"/>
              </a:solidFill>
              <a:round/>
            </a:ln>
          </c:spPr>
        </c:majorGridlines>
        <c:numFmt formatCode="#,##0" sourceLinked="0"/>
        <c:majorTickMark val="none"/>
        <c:minorTickMark val="in"/>
        <c:tickLblPos val="high"/>
        <c:spPr>
          <a:ln w="316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520644"/>
        <c:crosses val="min"/>
        <c:crossBetween val="midCat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RCL_Compl!$A$59</c:f>
              <c:strCache>
                <c:ptCount val="1"/>
                <c:pt idx="0">
                  <c:v>Receita Corrente Bruta</c:v>
                </c:pt>
              </c:strCache>
            </c:strRef>
          </c:tx>
          <c:spPr>
            <a:noFill/>
            <a:ln w="15840">
              <a:solidFill>
                <a:srgbClr val="2e75b6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RCL_Compl!$C$70:$P$70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RCL_Compl!$C$59:$P$59</c:f>
              <c:numCache>
                <c:formatCode>General</c:formatCode>
                <c:ptCount val="14"/>
                <c:pt idx="0">
                  <c:v>754.73551664</c:v>
                </c:pt>
                <c:pt idx="1">
                  <c:v>775.40675851</c:v>
                </c:pt>
                <c:pt idx="2">
                  <c:v>890.13703295</c:v>
                </c:pt>
                <c:pt idx="3">
                  <c:v>1029.61346782</c:v>
                </c:pt>
                <c:pt idx="4">
                  <c:v>1134.71733475</c:v>
                </c:pt>
                <c:pt idx="5">
                  <c:v>1219.64580902</c:v>
                </c:pt>
                <c:pt idx="6">
                  <c:v>1243.28013216</c:v>
                </c:pt>
                <c:pt idx="7">
                  <c:v>1282.514801615</c:v>
                </c:pt>
                <c:pt idx="8">
                  <c:v>1360.549861261</c:v>
                </c:pt>
                <c:pt idx="9">
                  <c:v>1407.900047336</c:v>
                </c:pt>
                <c:pt idx="10">
                  <c:v>1535.662595325</c:v>
                </c:pt>
                <c:pt idx="11">
                  <c:v>1691.011536713</c:v>
                </c:pt>
                <c:pt idx="12">
                  <c:v>1513.686530086</c:v>
                </c:pt>
                <c:pt idx="13">
                  <c:v>1877.963552796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RCL_Compl!$A$63</c:f>
              <c:strCache>
                <c:ptCount val="1"/>
                <c:pt idx="0">
                  <c:v>Deduções</c:v>
                </c:pt>
              </c:strCache>
            </c:strRef>
          </c:tx>
          <c:spPr>
            <a:noFill/>
            <a:ln w="15840">
              <a:solidFill>
                <a:srgbClr val="c00000">
                  <a:alpha val="61000"/>
                </a:srgbClr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RCL_Compl!$C$70:$P$70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RCL_Compl!$C$63:$P$63</c:f>
              <c:numCache>
                <c:formatCode>General</c:formatCode>
                <c:ptCount val="14"/>
                <c:pt idx="0">
                  <c:v>326.17222872</c:v>
                </c:pt>
                <c:pt idx="1">
                  <c:v>338.20642218</c:v>
                </c:pt>
                <c:pt idx="2">
                  <c:v>390.27041999</c:v>
                </c:pt>
                <c:pt idx="3">
                  <c:v>470.90708122</c:v>
                </c:pt>
                <c:pt idx="4">
                  <c:v>517.78398623</c:v>
                </c:pt>
                <c:pt idx="5">
                  <c:v>563.55159112</c:v>
                </c:pt>
                <c:pt idx="6">
                  <c:v>601.70193483</c:v>
                </c:pt>
                <c:pt idx="7">
                  <c:v>607.9920595653</c:v>
                </c:pt>
                <c:pt idx="8">
                  <c:v>650.62028675442</c:v>
                </c:pt>
                <c:pt idx="9">
                  <c:v>680.64572336468</c:v>
                </c:pt>
                <c:pt idx="10">
                  <c:v>730.31419185843</c:v>
                </c:pt>
                <c:pt idx="11">
                  <c:v>785.35294711871</c:v>
                </c:pt>
                <c:pt idx="12">
                  <c:v>861.74326405485</c:v>
                </c:pt>
                <c:pt idx="13">
                  <c:v>906.60034946817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RCL_Compl!$A$67</c:f>
              <c:strCache>
                <c:ptCount val="1"/>
                <c:pt idx="0">
                  <c:v>Receita Corrente Líquida (RCL)</c:v>
                </c:pt>
              </c:strCache>
            </c:strRef>
          </c:tx>
          <c:spPr>
            <a:noFill/>
            <a:ln w="15840">
              <a:solidFill>
                <a:srgbClr val="70ad47"/>
              </a:solidFill>
              <a:round/>
            </a:ln>
          </c:spPr>
          <c:marker>
            <c:symbol val="none"/>
            <c:size val="9"/>
          </c:marker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RCL_Compl!$C$70:$P$70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RCL_Compl!$C$67:$P$67</c:f>
              <c:numCache>
                <c:formatCode>General</c:formatCode>
                <c:ptCount val="14"/>
                <c:pt idx="0">
                  <c:v>428.56328792</c:v>
                </c:pt>
                <c:pt idx="1">
                  <c:v>437.20033633</c:v>
                </c:pt>
                <c:pt idx="2">
                  <c:v>499.86661296</c:v>
                </c:pt>
                <c:pt idx="3">
                  <c:v>558.7063866</c:v>
                </c:pt>
                <c:pt idx="4">
                  <c:v>616.93334852</c:v>
                </c:pt>
                <c:pt idx="5">
                  <c:v>656.0942179</c:v>
                </c:pt>
                <c:pt idx="6">
                  <c:v>641.57819733</c:v>
                </c:pt>
                <c:pt idx="7">
                  <c:v>674.5227420497</c:v>
                </c:pt>
                <c:pt idx="8">
                  <c:v>709.92957450658</c:v>
                </c:pt>
                <c:pt idx="9">
                  <c:v>727.25432397132</c:v>
                </c:pt>
                <c:pt idx="10">
                  <c:v>805.34840346657</c:v>
                </c:pt>
                <c:pt idx="11">
                  <c:v>905.658589594291</c:v>
                </c:pt>
                <c:pt idx="12">
                  <c:v>651.94326603115</c:v>
                </c:pt>
                <c:pt idx="13">
                  <c:v>971.36320332783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axId val="11346348"/>
        <c:axId val="85608598"/>
      </c:lineChart>
      <c:lineChart>
        <c:grouping val="standard"/>
        <c:varyColors val="0"/>
        <c:ser>
          <c:idx val="3"/>
          <c:order val="3"/>
          <c:tx>
            <c:strRef>
              <c:f>RCL_Compl!$A$73</c:f>
              <c:strCache>
                <c:ptCount val="1"/>
                <c:pt idx="0">
                  <c:v> % RCL/PIB </c:v>
                </c:pt>
              </c:strCache>
            </c:strRef>
          </c:tx>
          <c:spPr>
            <a:noFill/>
            <a:ln w="15840">
              <a:solidFill>
                <a:srgbClr val="385723"/>
              </a:solidFill>
              <a:custDash/>
              <a:round/>
            </a:ln>
          </c:spPr>
          <c:marker>
            <c:symbol val="square"/>
            <c:size val="5"/>
            <c:spPr>
              <a:solidFill>
                <a:srgbClr val="385723"/>
              </a:solidFill>
            </c:spPr>
          </c:marker>
          <c:dLbls>
            <c:numFmt formatCode="0.0%" sourceLinked="0"/>
            <c:txPr>
              <a:bodyPr/>
              <a:lstStyle/>
              <a:p>
                <a:pPr>
                  <a:defRPr b="1" lang="pt-BR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RCL_Compl!$C$70:$P$70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RCL_Compl!$C$73:$P$73</c:f>
              <c:numCache>
                <c:formatCode>General</c:formatCode>
                <c:ptCount val="14"/>
                <c:pt idx="0">
                  <c:v>0.137810429766773</c:v>
                </c:pt>
                <c:pt idx="1">
                  <c:v>0.131171683358641</c:v>
                </c:pt>
                <c:pt idx="2">
                  <c:v>0.128637749494512</c:v>
                </c:pt>
                <c:pt idx="3">
                  <c:v>0.127663989706566</c:v>
                </c:pt>
                <c:pt idx="4">
                  <c:v>0.128133769600146</c:v>
                </c:pt>
                <c:pt idx="5">
                  <c:v>0.123057221061745</c:v>
                </c:pt>
                <c:pt idx="6">
                  <c:v>0.111019798453111</c:v>
                </c:pt>
                <c:pt idx="7">
                  <c:v>0.112409769460229</c:v>
                </c:pt>
                <c:pt idx="8">
                  <c:v>0.113282511413209</c:v>
                </c:pt>
                <c:pt idx="9">
                  <c:v>0.110862949230406</c:v>
                </c:pt>
                <c:pt idx="10">
                  <c:v>0.117955072768995</c:v>
                </c:pt>
                <c:pt idx="11">
                  <c:v>0.12476909733239</c:v>
                </c:pt>
                <c:pt idx="12">
                  <c:v>0.0879777314424108</c:v>
                </c:pt>
                <c:pt idx="13">
                  <c:v>0.117205000956394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axId val="79674501"/>
        <c:axId val="66482633"/>
      </c:lineChart>
      <c:catAx>
        <c:axId val="113463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843c0c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608598"/>
        <c:crossesAt val="0"/>
        <c:auto val="1"/>
        <c:lblAlgn val="ctr"/>
        <c:lblOffset val="100"/>
      </c:catAx>
      <c:valAx>
        <c:axId val="85608598"/>
        <c:scaling>
          <c:min val="0.000000"/>
          <c:orientation val="minMax"/>
        </c:scaling>
        <c:delete val="0"/>
        <c:axPos val="l"/>
        <c:majorGridlines>
          <c:spPr>
            <a:ln w="9360">
              <a:solidFill>
                <a:srgbClr val="7f7f7f">
                  <a:alpha val="9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R$ bilhões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\ ;\-0\ " sourceLinked="1"/>
        <c:majorTickMark val="in"/>
        <c:minorTickMark val="none"/>
        <c:tickLblPos val="nextTo"/>
        <c:spPr>
          <a:ln w="9360">
            <a:solidFill>
              <a:srgbClr val="7f6000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346348"/>
        <c:crosses val="min"/>
        <c:crossBetween val="midCat"/>
        <c:majorUnit val="250"/>
      </c:valAx>
      <c:catAx>
        <c:axId val="7967450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482633"/>
        <c:crosses val="max"/>
        <c:auto val="1"/>
        <c:lblAlgn val="ctr"/>
        <c:lblOffset val="100"/>
      </c:catAx>
      <c:valAx>
        <c:axId val="66482633"/>
        <c:scaling>
          <c:min val="0.080000"/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79674501"/>
        <c:crosses val="max"/>
        <c:crossBetween val="midCat"/>
        <c:majorUnit val="0.00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0705298013245033"/>
          <c:y val="0.91614173228346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'Previdência_-_Gráficos'!$E$13</c:f>
              <c:strCache>
                <c:ptCount val="1"/>
                <c:pt idx="0">
                  <c:v>#NAME?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</c:spPr>
          <c:invertIfNegative val="0"/>
          <c:dPt>
            <c:idx val="1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Lbls>
            <c:numFmt formatCode="General" sourceLinked="1"/>
            <c:dLbl>
              <c:idx val="1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049" spc="-1" strike="noStrike">
                    <a:solidFill>
                      <a:srgbClr val="00206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'Previdência_-_Gráficos'!$B$14:$B$28</c:f>
              <c:strCache>
                <c:ptCount val="15"/>
                <c:pt idx="0">
                  <c:v>Receitas RGPS</c:v>
                </c:pt>
                <c:pt idx="1">
                  <c:v>Despesas RGPS</c:v>
                </c:pt>
                <c:pt idx="2">
                  <c:v>Déficit RGPS</c:v>
                </c:pt>
                <c:pt idx="3">
                  <c:v/>
                </c:pt>
                <c:pt idx="4">
                  <c:v>Receitas RPPS Civis</c:v>
                </c:pt>
                <c:pt idx="5">
                  <c:v>Despesas RPPS Civis</c:v>
                </c:pt>
                <c:pt idx="6">
                  <c:v>Déficit RPPS Civis</c:v>
                </c:pt>
                <c:pt idx="7">
                  <c:v/>
                </c:pt>
                <c:pt idx="8">
                  <c:v>Receitas Militares</c:v>
                </c:pt>
                <c:pt idx="9">
                  <c:v>Despesas Militares</c:v>
                </c:pt>
                <c:pt idx="10">
                  <c:v>Déficit Militares</c:v>
                </c:pt>
                <c:pt idx="11">
                  <c:v/>
                </c:pt>
                <c:pt idx="12">
                  <c:v>Receitas FCDF</c:v>
                </c:pt>
                <c:pt idx="13">
                  <c:v>Despesas FCDF</c:v>
                </c:pt>
                <c:pt idx="14">
                  <c:v>Déficit FCDF</c:v>
                </c:pt>
              </c:strCache>
            </c:strRef>
          </c:cat>
          <c:val>
            <c:numRef>
              <c:f>'Previdência_-_Gráficos'!$E$14:$E$28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</c:ser>
        <c:ser>
          <c:idx val="1"/>
          <c:order val="1"/>
          <c:tx>
            <c:strRef>
              <c:f>'Previdência_-_Gráficos'!$F$13</c:f>
              <c:strCache>
                <c:ptCount val="1"/>
                <c:pt idx="0">
                  <c:v>#NAME?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spPr>
              <a:ln>
                <a:noFill/>
              </a:ln>
            </c:spPr>
          </c:dPt>
          <c:dPt>
            <c:idx val="1"/>
            <c:invertIfNegative val="0"/>
            <c:spPr>
              <a:ln>
                <a:noFill/>
              </a:ln>
            </c:spPr>
          </c:dPt>
          <c:dPt>
            <c:idx val="2"/>
            <c:invertIfNegative val="0"/>
            <c:spPr>
              <a:ln>
                <a:noFill/>
              </a:ln>
            </c:spPr>
          </c:dPt>
          <c:dPt>
            <c:idx val="4"/>
            <c:invertIfNegative val="0"/>
            <c:spPr>
              <a:ln>
                <a:noFill/>
              </a:ln>
            </c:spPr>
          </c:dPt>
          <c:dPt>
            <c:idx val="5"/>
            <c:invertIfNegative val="0"/>
            <c:spPr>
              <a:ln>
                <a:noFill/>
              </a:ln>
            </c:spPr>
          </c:dPt>
          <c:dPt>
            <c:idx val="6"/>
            <c:invertIfNegative val="0"/>
            <c:spPr>
              <a:ln>
                <a:noFill/>
              </a:ln>
            </c:spPr>
          </c:dPt>
          <c:dPt>
            <c:idx val="8"/>
            <c:invertIfNegative val="0"/>
            <c:spPr>
              <a:ln>
                <a:noFill/>
              </a:ln>
            </c:spPr>
          </c:dPt>
          <c:dPt>
            <c:idx val="9"/>
            <c:invertIfNegative val="0"/>
            <c:spPr>
              <a:ln>
                <a:noFill/>
              </a:ln>
            </c:spPr>
          </c:dPt>
          <c:dPt>
            <c:idx val="10"/>
            <c:invertIfNegative val="0"/>
            <c:spPr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049" spc="-1" strike="noStrike">
                    <a:solidFill>
                      <a:srgbClr val="0070c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'Previdência_-_Gráficos'!$B$14:$B$28</c:f>
              <c:strCache>
                <c:ptCount val="15"/>
                <c:pt idx="0">
                  <c:v>Receitas RGPS</c:v>
                </c:pt>
                <c:pt idx="1">
                  <c:v>Despesas RGPS</c:v>
                </c:pt>
                <c:pt idx="2">
                  <c:v>Déficit RGPS</c:v>
                </c:pt>
                <c:pt idx="3">
                  <c:v/>
                </c:pt>
                <c:pt idx="4">
                  <c:v>Receitas RPPS Civis</c:v>
                </c:pt>
                <c:pt idx="5">
                  <c:v>Despesas RPPS Civis</c:v>
                </c:pt>
                <c:pt idx="6">
                  <c:v>Déficit RPPS Civis</c:v>
                </c:pt>
                <c:pt idx="7">
                  <c:v/>
                </c:pt>
                <c:pt idx="8">
                  <c:v>Receitas Militares</c:v>
                </c:pt>
                <c:pt idx="9">
                  <c:v>Despesas Militares</c:v>
                </c:pt>
                <c:pt idx="10">
                  <c:v>Déficit Militares</c:v>
                </c:pt>
                <c:pt idx="11">
                  <c:v/>
                </c:pt>
                <c:pt idx="12">
                  <c:v>Receitas FCDF</c:v>
                </c:pt>
                <c:pt idx="13">
                  <c:v>Despesas FCDF</c:v>
                </c:pt>
                <c:pt idx="14">
                  <c:v>Déficit FCDF</c:v>
                </c:pt>
              </c:strCache>
            </c:strRef>
          </c:cat>
          <c:val>
            <c:numRef>
              <c:f>'Previdência_-_Gráficos'!$F$14:$F$28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</c:ser>
        <c:ser>
          <c:idx val="2"/>
          <c:order val="2"/>
          <c:spPr>
            <a:ln>
              <a:noFill/>
            </a:ln>
          </c:spPr>
          <c:invertIfNegative val="0"/>
          <c:dPt>
            <c:idx val="2"/>
            <c:invertIfNegative val="0"/>
            <c:spPr>
              <a:ln>
                <a:noFill/>
              </a:ln>
            </c:spPr>
          </c:dPt>
          <c:dPt>
            <c:idx val="9"/>
            <c:invertIfNegative val="0"/>
            <c:spPr>
              <a:ln>
                <a:noFill/>
              </a:ln>
            </c:spPr>
          </c:dPt>
          <c:dPt>
            <c:idx val="14"/>
            <c:invertIfNegative val="0"/>
            <c:spPr>
              <a:ln>
                <a:noFill/>
              </a:ln>
            </c:spPr>
          </c:dPt>
          <c:dLbls>
            <c:numFmt formatCode="General" sourceLinked="1"/>
            <c:dLbl>
              <c:idx val="2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b05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b05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b05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000" spc="-1" strike="noStrike">
                    <a:solidFill>
                      <a:srgbClr val="00b05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'Previdência_-_Gráficos'!$B$14:$B$28</c:f>
              <c:strCache>
                <c:ptCount val="15"/>
                <c:pt idx="0">
                  <c:v>Receitas RGPS</c:v>
                </c:pt>
                <c:pt idx="1">
                  <c:v>Despesas RGPS</c:v>
                </c:pt>
                <c:pt idx="2">
                  <c:v>Déficit RGPS</c:v>
                </c:pt>
                <c:pt idx="3">
                  <c:v/>
                </c:pt>
                <c:pt idx="4">
                  <c:v>Receitas RPPS Civis</c:v>
                </c:pt>
                <c:pt idx="5">
                  <c:v>Despesas RPPS Civis</c:v>
                </c:pt>
                <c:pt idx="6">
                  <c:v>Déficit RPPS Civis</c:v>
                </c:pt>
                <c:pt idx="7">
                  <c:v/>
                </c:pt>
                <c:pt idx="8">
                  <c:v>Receitas Militares</c:v>
                </c:pt>
                <c:pt idx="9">
                  <c:v>Despesas Militares</c:v>
                </c:pt>
                <c:pt idx="10">
                  <c:v>Déficit Militares</c:v>
                </c:pt>
                <c:pt idx="11">
                  <c:v/>
                </c:pt>
                <c:pt idx="12">
                  <c:v>Receitas FCDF</c:v>
                </c:pt>
                <c:pt idx="13">
                  <c:v>Despesas FCDF</c:v>
                </c:pt>
                <c:pt idx="14">
                  <c:v>Déficit FCDF</c:v>
                </c:pt>
              </c:strCache>
            </c:strRef>
          </c:cat>
          <c:val>
            <c:numRef>
              <c:f>'Previdência_-_Gráficos'!$H$13:$H$27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</c:ser>
        <c:gapWidth val="50"/>
        <c:overlap val="-12"/>
        <c:axId val="57238412"/>
        <c:axId val="41610788"/>
      </c:barChart>
      <c:catAx>
        <c:axId val="57238412"/>
        <c:scaling>
          <c:orientation val="minMax"/>
        </c:scaling>
        <c:delete val="1"/>
        <c:axPos val="t"/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Arial Narrow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Arial Narrow"/>
                  </a:rPr>
                  <a:t>Variação %</a:t>
                </a:r>
              </a:p>
            </c:rich>
          </c:tx>
          <c:layout>
            <c:manualLayout>
              <c:xMode val="edge"/>
              <c:yMode val="edge"/>
              <c:x val="0.968973642869611"/>
              <c:y val="0.46645454545454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6480">
            <a:solidFill>
              <a:srgbClr val="898989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41610788"/>
        <c:crosses val="max"/>
        <c:auto val="1"/>
        <c:lblAlgn val="ctr"/>
        <c:lblOffset val="100"/>
      </c:catAx>
      <c:valAx>
        <c:axId val="41610788"/>
        <c:scaling>
          <c:max val="3.000000"/>
          <c:min val="-0.300000"/>
          <c:orientation val="maxMin"/>
        </c:scaling>
        <c:delete val="0"/>
        <c:axPos val="r"/>
        <c:numFmt formatCode="0%" sourceLinked="0"/>
        <c:majorTickMark val="none"/>
        <c:minorTickMark val="none"/>
        <c:tickLblPos val="nextTo"/>
        <c:spPr>
          <a:ln w="64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57238412"/>
        <c:crosses val="min"/>
        <c:majorUnit val="0.5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'Previdência_-_Gráficos'!$F$34</c:f>
              <c:strCache>
                <c:ptCount val="1"/>
                <c:pt idx="0">
                  <c:v>#NAME?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Lbls>
            <c:numFmt formatCode="General" sourceLinked="1"/>
            <c:dLbl>
              <c:idx val="9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049" spc="-1" strike="noStrike">
                    <a:solidFill>
                      <a:srgbClr val="00206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'Previdência_-_Gráficos'!$B$14:$B$28</c:f>
              <c:strCache>
                <c:ptCount val="15"/>
                <c:pt idx="0">
                  <c:v>Receitas RGPS</c:v>
                </c:pt>
                <c:pt idx="1">
                  <c:v>Despesas RGPS</c:v>
                </c:pt>
                <c:pt idx="2">
                  <c:v>Déficit RGPS</c:v>
                </c:pt>
                <c:pt idx="3">
                  <c:v/>
                </c:pt>
                <c:pt idx="4">
                  <c:v>Receitas RPPS Civis</c:v>
                </c:pt>
                <c:pt idx="5">
                  <c:v>Despesas RPPS Civis</c:v>
                </c:pt>
                <c:pt idx="6">
                  <c:v>Déficit RPPS Civis</c:v>
                </c:pt>
                <c:pt idx="7">
                  <c:v/>
                </c:pt>
                <c:pt idx="8">
                  <c:v>Receitas Militares</c:v>
                </c:pt>
                <c:pt idx="9">
                  <c:v>Despesas Militares</c:v>
                </c:pt>
                <c:pt idx="10">
                  <c:v>Déficit Militares</c:v>
                </c:pt>
                <c:pt idx="11">
                  <c:v/>
                </c:pt>
                <c:pt idx="12">
                  <c:v>Receitas FCDF</c:v>
                </c:pt>
                <c:pt idx="13">
                  <c:v>Despesas FCDF</c:v>
                </c:pt>
                <c:pt idx="14">
                  <c:v>Déficit FCDF</c:v>
                </c:pt>
              </c:strCache>
            </c:strRef>
          </c:cat>
          <c:val>
            <c:numRef>
              <c:f>'Previdência_-_Gráficos'!$F$35:$F$49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</c:ser>
        <c:ser>
          <c:idx val="1"/>
          <c:order val="1"/>
          <c:tx>
            <c:strRef>
              <c:f>'Previdência_-_Gráficos'!$G$34</c:f>
              <c:strCache>
                <c:ptCount val="1"/>
                <c:pt idx="0">
                  <c:v>#NAME?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spPr>
              <a:ln>
                <a:noFill/>
              </a:ln>
            </c:spPr>
          </c:dPt>
          <c:dPt>
            <c:idx val="1"/>
            <c:invertIfNegative val="0"/>
            <c:spPr>
              <a:ln>
                <a:noFill/>
              </a:ln>
            </c:spPr>
          </c:dPt>
          <c:dPt>
            <c:idx val="2"/>
            <c:invertIfNegative val="0"/>
            <c:spPr>
              <a:ln>
                <a:noFill/>
              </a:ln>
            </c:spPr>
          </c:dPt>
          <c:dPt>
            <c:idx val="4"/>
            <c:invertIfNegative val="0"/>
            <c:spPr>
              <a:ln>
                <a:noFill/>
              </a:ln>
            </c:spPr>
          </c:dPt>
          <c:dPt>
            <c:idx val="5"/>
            <c:invertIfNegative val="0"/>
            <c:spPr>
              <a:ln>
                <a:noFill/>
              </a:ln>
            </c:spPr>
          </c:dPt>
          <c:dPt>
            <c:idx val="6"/>
            <c:invertIfNegative val="0"/>
            <c:spPr>
              <a:ln>
                <a:noFill/>
              </a:ln>
            </c:spPr>
          </c:dPt>
          <c:dPt>
            <c:idx val="8"/>
            <c:invertIfNegative val="0"/>
            <c:spPr>
              <a:ln>
                <a:noFill/>
              </a:ln>
            </c:spPr>
          </c:dPt>
          <c:dPt>
            <c:idx val="9"/>
            <c:invertIfNegative val="0"/>
            <c:spPr>
              <a:ln>
                <a:noFill/>
              </a:ln>
            </c:spPr>
          </c:dPt>
          <c:dPt>
            <c:idx val="10"/>
            <c:invertIfNegative val="0"/>
            <c:spPr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049" spc="-1" strike="noStrike">
                    <a:solidFill>
                      <a:srgbClr val="0070c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'Previdência_-_Gráficos'!$B$14:$B$28</c:f>
              <c:strCache>
                <c:ptCount val="15"/>
                <c:pt idx="0">
                  <c:v>Receitas RGPS</c:v>
                </c:pt>
                <c:pt idx="1">
                  <c:v>Despesas RGPS</c:v>
                </c:pt>
                <c:pt idx="2">
                  <c:v>Déficit RGPS</c:v>
                </c:pt>
                <c:pt idx="3">
                  <c:v/>
                </c:pt>
                <c:pt idx="4">
                  <c:v>Receitas RPPS Civis</c:v>
                </c:pt>
                <c:pt idx="5">
                  <c:v>Despesas RPPS Civis</c:v>
                </c:pt>
                <c:pt idx="6">
                  <c:v>Déficit RPPS Civis</c:v>
                </c:pt>
                <c:pt idx="7">
                  <c:v/>
                </c:pt>
                <c:pt idx="8">
                  <c:v>Receitas Militares</c:v>
                </c:pt>
                <c:pt idx="9">
                  <c:v>Despesas Militares</c:v>
                </c:pt>
                <c:pt idx="10">
                  <c:v>Déficit Militares</c:v>
                </c:pt>
                <c:pt idx="11">
                  <c:v/>
                </c:pt>
                <c:pt idx="12">
                  <c:v>Receitas FCDF</c:v>
                </c:pt>
                <c:pt idx="13">
                  <c:v>Despesas FCDF</c:v>
                </c:pt>
                <c:pt idx="14">
                  <c:v>Déficit FCDF</c:v>
                </c:pt>
              </c:strCache>
            </c:strRef>
          </c:cat>
          <c:val>
            <c:numRef>
              <c:f>'Previdência_-_Gráficos'!$G$35:$G$49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</c:ser>
        <c:ser>
          <c:idx val="2"/>
          <c:order val="2"/>
          <c:spPr>
            <a:ln>
              <a:noFill/>
            </a:ln>
          </c:spPr>
          <c:invertIfNegative val="0"/>
          <c:dPt>
            <c:idx val="9"/>
            <c:invertIfNegative val="0"/>
            <c:spPr>
              <a:ln>
                <a:noFill/>
              </a:ln>
            </c:spPr>
          </c:dPt>
          <c:dLbls>
            <c:numFmt formatCode="General" sourceLinked="1"/>
            <c:dLbl>
              <c:idx val="9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b05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000" spc="-1" strike="noStrike">
                    <a:solidFill>
                      <a:srgbClr val="00b05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'Previdência_-_Gráficos'!$B$14:$B$28</c:f>
              <c:strCache>
                <c:ptCount val="15"/>
                <c:pt idx="0">
                  <c:v>Receitas RGPS</c:v>
                </c:pt>
                <c:pt idx="1">
                  <c:v>Despesas RGPS</c:v>
                </c:pt>
                <c:pt idx="2">
                  <c:v>Déficit RGPS</c:v>
                </c:pt>
                <c:pt idx="3">
                  <c:v/>
                </c:pt>
                <c:pt idx="4">
                  <c:v>Receitas RPPS Civis</c:v>
                </c:pt>
                <c:pt idx="5">
                  <c:v>Despesas RPPS Civis</c:v>
                </c:pt>
                <c:pt idx="6">
                  <c:v>Déficit RPPS Civis</c:v>
                </c:pt>
                <c:pt idx="7">
                  <c:v/>
                </c:pt>
                <c:pt idx="8">
                  <c:v>Receitas Militares</c:v>
                </c:pt>
                <c:pt idx="9">
                  <c:v>Despesas Militares</c:v>
                </c:pt>
                <c:pt idx="10">
                  <c:v>Déficit Militares</c:v>
                </c:pt>
                <c:pt idx="11">
                  <c:v/>
                </c:pt>
                <c:pt idx="12">
                  <c:v>Receitas FCDF</c:v>
                </c:pt>
                <c:pt idx="13">
                  <c:v>Despesas FCDF</c:v>
                </c:pt>
                <c:pt idx="14">
                  <c:v>Déficit FCDF</c:v>
                </c:pt>
              </c:strCache>
            </c:strRef>
          </c:cat>
          <c:val>
            <c:numRef>
              <c:f>'Previdência_-_Gráficos'!$I$34:$I$48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</c:ser>
        <c:gapWidth val="50"/>
        <c:overlap val="-12"/>
        <c:axId val="4659"/>
        <c:axId val="12812235"/>
      </c:barChart>
      <c:catAx>
        <c:axId val="4659"/>
        <c:scaling>
          <c:orientation val="minMax"/>
        </c:scaling>
        <c:delete val="1"/>
        <c:axPos val="t"/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Arial Narrow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Arial Narrow"/>
                  </a:rPr>
                  <a:t>Variação %</a:t>
                </a:r>
              </a:p>
            </c:rich>
          </c:tx>
          <c:layout>
            <c:manualLayout>
              <c:xMode val="edge"/>
              <c:yMode val="edge"/>
              <c:x val="0.968987507643924"/>
              <c:y val="0.46645454545454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6480">
            <a:solidFill>
              <a:srgbClr val="898989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12812235"/>
        <c:crosses val="max"/>
        <c:auto val="1"/>
        <c:lblAlgn val="ctr"/>
        <c:lblOffset val="100"/>
      </c:catAx>
      <c:valAx>
        <c:axId val="12812235"/>
        <c:scaling>
          <c:max val="4.000000"/>
          <c:min val="-0.100000"/>
          <c:orientation val="maxMin"/>
        </c:scaling>
        <c:delete val="0"/>
        <c:axPos val="r"/>
        <c:numFmt formatCode="0%" sourceLinked="0"/>
        <c:majorTickMark val="none"/>
        <c:minorTickMark val="out"/>
        <c:tickLblPos val="nextTo"/>
        <c:spPr>
          <a:ln w="64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4659"/>
        <c:crosses val="min"/>
        <c:majorUnit val="0.5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'Previdência_-_Gráficos'!$F$56</c:f>
              <c:strCache>
                <c:ptCount val="1"/>
                <c:pt idx="0">
                  <c:v>#NAME?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2060"/>
              </a:solidFill>
              <a:ln>
                <a:noFill/>
              </a:ln>
            </c:spPr>
          </c:dPt>
          <c:dLbls>
            <c:numFmt formatCode="General" sourceLinked="1"/>
            <c:dLbl>
              <c:idx val="9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206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049" spc="-1" strike="noStrike">
                    <a:solidFill>
                      <a:srgbClr val="00206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'Previdência_-_Gráficos'!$B$14:$B$28</c:f>
              <c:strCache>
                <c:ptCount val="15"/>
                <c:pt idx="0">
                  <c:v>Receitas RGPS</c:v>
                </c:pt>
                <c:pt idx="1">
                  <c:v>Despesas RGPS</c:v>
                </c:pt>
                <c:pt idx="2">
                  <c:v>Déficit RGPS</c:v>
                </c:pt>
                <c:pt idx="3">
                  <c:v/>
                </c:pt>
                <c:pt idx="4">
                  <c:v>Receitas RPPS Civis</c:v>
                </c:pt>
                <c:pt idx="5">
                  <c:v>Despesas RPPS Civis</c:v>
                </c:pt>
                <c:pt idx="6">
                  <c:v>Déficit RPPS Civis</c:v>
                </c:pt>
                <c:pt idx="7">
                  <c:v/>
                </c:pt>
                <c:pt idx="8">
                  <c:v>Receitas Militares</c:v>
                </c:pt>
                <c:pt idx="9">
                  <c:v>Despesas Militares</c:v>
                </c:pt>
                <c:pt idx="10">
                  <c:v>Déficit Militares</c:v>
                </c:pt>
                <c:pt idx="11">
                  <c:v/>
                </c:pt>
                <c:pt idx="12">
                  <c:v>Receitas FCDF</c:v>
                </c:pt>
                <c:pt idx="13">
                  <c:v>Despesas FCDF</c:v>
                </c:pt>
                <c:pt idx="14">
                  <c:v>Déficit FCDF</c:v>
                </c:pt>
              </c:strCache>
            </c:strRef>
          </c:cat>
          <c:val>
            <c:numRef>
              <c:f>'Previdência_-_Gráficos'!$E$57:$E$71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</c:ser>
        <c:ser>
          <c:idx val="1"/>
          <c:order val="1"/>
          <c:tx>
            <c:strRef>
              <c:f>'Previdência_-_Gráficos'!$E$56</c:f>
              <c:strCache>
                <c:ptCount val="1"/>
                <c:pt idx="0">
                  <c:v>#NAME?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spPr>
              <a:ln>
                <a:noFill/>
              </a:ln>
            </c:spPr>
          </c:dPt>
          <c:dPt>
            <c:idx val="1"/>
            <c:invertIfNegative val="0"/>
            <c:spPr>
              <a:ln>
                <a:noFill/>
              </a:ln>
            </c:spPr>
          </c:dPt>
          <c:dPt>
            <c:idx val="2"/>
            <c:invertIfNegative val="0"/>
            <c:spPr>
              <a:ln>
                <a:noFill/>
              </a:ln>
            </c:spPr>
          </c:dPt>
          <c:dPt>
            <c:idx val="4"/>
            <c:invertIfNegative val="0"/>
            <c:spPr>
              <a:ln>
                <a:noFill/>
              </a:ln>
            </c:spPr>
          </c:dPt>
          <c:dPt>
            <c:idx val="5"/>
            <c:invertIfNegative val="0"/>
            <c:spPr>
              <a:ln>
                <a:noFill/>
              </a:ln>
            </c:spPr>
          </c:dPt>
          <c:dPt>
            <c:idx val="6"/>
            <c:invertIfNegative val="0"/>
            <c:spPr>
              <a:ln>
                <a:noFill/>
              </a:ln>
            </c:spPr>
          </c:dPt>
          <c:dPt>
            <c:idx val="8"/>
            <c:invertIfNegative val="0"/>
            <c:spPr>
              <a:ln>
                <a:noFill/>
              </a:ln>
            </c:spPr>
          </c:dPt>
          <c:dPt>
            <c:idx val="9"/>
            <c:invertIfNegative val="0"/>
            <c:spPr>
              <a:ln>
                <a:noFill/>
              </a:ln>
            </c:spPr>
          </c:dPt>
          <c:dPt>
            <c:idx val="10"/>
            <c:invertIfNegative val="0"/>
            <c:spPr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0" lang="pt-BR" sz="1049" spc="-1" strike="noStrike">
                      <a:solidFill>
                        <a:srgbClr val="0070c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049" spc="-1" strike="noStrike">
                    <a:solidFill>
                      <a:srgbClr val="0070c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'Previdência_-_Gráficos'!$B$14:$B$28</c:f>
              <c:strCache>
                <c:ptCount val="15"/>
                <c:pt idx="0">
                  <c:v>Receitas RGPS</c:v>
                </c:pt>
                <c:pt idx="1">
                  <c:v>Despesas RGPS</c:v>
                </c:pt>
                <c:pt idx="2">
                  <c:v>Déficit RGPS</c:v>
                </c:pt>
                <c:pt idx="3">
                  <c:v/>
                </c:pt>
                <c:pt idx="4">
                  <c:v>Receitas RPPS Civis</c:v>
                </c:pt>
                <c:pt idx="5">
                  <c:v>Despesas RPPS Civis</c:v>
                </c:pt>
                <c:pt idx="6">
                  <c:v>Déficit RPPS Civis</c:v>
                </c:pt>
                <c:pt idx="7">
                  <c:v/>
                </c:pt>
                <c:pt idx="8">
                  <c:v>Receitas Militares</c:v>
                </c:pt>
                <c:pt idx="9">
                  <c:v>Despesas Militares</c:v>
                </c:pt>
                <c:pt idx="10">
                  <c:v>Déficit Militares</c:v>
                </c:pt>
                <c:pt idx="11">
                  <c:v/>
                </c:pt>
                <c:pt idx="12">
                  <c:v>Receitas FCDF</c:v>
                </c:pt>
                <c:pt idx="13">
                  <c:v>Despesas FCDF</c:v>
                </c:pt>
                <c:pt idx="14">
                  <c:v>Déficit FCDF</c:v>
                </c:pt>
              </c:strCache>
            </c:strRef>
          </c:cat>
          <c:val>
            <c:numRef>
              <c:f>'Previdência_-_Gráficos'!$F$57:$F$71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</c:ser>
        <c:ser>
          <c:idx val="2"/>
          <c:order val="2"/>
          <c:spPr>
            <a:ln>
              <a:noFill/>
            </a:ln>
          </c:spPr>
          <c:invertIfNegative val="0"/>
          <c:dPt>
            <c:idx val="9"/>
            <c:invertIfNegative val="0"/>
            <c:spPr>
              <a:ln>
                <a:noFill/>
              </a:ln>
            </c:spPr>
          </c:dPt>
          <c:dLbls>
            <c:numFmt formatCode="General" sourceLinked="1"/>
            <c:dLbl>
              <c:idx val="9"/>
              <c:txPr>
                <a:bodyPr/>
                <a:lstStyle/>
                <a:p>
                  <a:pPr>
                    <a:defRPr b="0" lang="pt-BR" sz="1000" spc="-1" strike="noStrike">
                      <a:solidFill>
                        <a:srgbClr val="00b050"/>
                      </a:solidFill>
                      <a:latin typeface="Arial Narrow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lang="pt-BR" sz="1000" spc="-1" strike="noStrike">
                    <a:solidFill>
                      <a:srgbClr val="00b05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'Previdência_-_Gráficos'!$B$14:$B$28</c:f>
              <c:strCache>
                <c:ptCount val="15"/>
                <c:pt idx="0">
                  <c:v>Receitas RGPS</c:v>
                </c:pt>
                <c:pt idx="1">
                  <c:v>Despesas RGPS</c:v>
                </c:pt>
                <c:pt idx="2">
                  <c:v>Déficit RGPS</c:v>
                </c:pt>
                <c:pt idx="3">
                  <c:v/>
                </c:pt>
                <c:pt idx="4">
                  <c:v>Receitas RPPS Civis</c:v>
                </c:pt>
                <c:pt idx="5">
                  <c:v>Despesas RPPS Civis</c:v>
                </c:pt>
                <c:pt idx="6">
                  <c:v>Déficit RPPS Civis</c:v>
                </c:pt>
                <c:pt idx="7">
                  <c:v/>
                </c:pt>
                <c:pt idx="8">
                  <c:v>Receitas Militares</c:v>
                </c:pt>
                <c:pt idx="9">
                  <c:v>Despesas Militares</c:v>
                </c:pt>
                <c:pt idx="10">
                  <c:v>Déficit Militares</c:v>
                </c:pt>
                <c:pt idx="11">
                  <c:v/>
                </c:pt>
                <c:pt idx="12">
                  <c:v>Receitas FCDF</c:v>
                </c:pt>
                <c:pt idx="13">
                  <c:v>Despesas FCDF</c:v>
                </c:pt>
                <c:pt idx="14">
                  <c:v>Déficit FCDF</c:v>
                </c:pt>
              </c:strCache>
            </c:strRef>
          </c:cat>
          <c:val>
            <c:numRef>
              <c:f>'Previdência_-_Gráficos'!$H$56:$H$70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</c:ser>
        <c:gapWidth val="50"/>
        <c:overlap val="-12"/>
        <c:axId val="1550292"/>
        <c:axId val="96511967"/>
      </c:barChart>
      <c:catAx>
        <c:axId val="1550292"/>
        <c:scaling>
          <c:orientation val="minMax"/>
        </c:scaling>
        <c:delete val="1"/>
        <c:axPos val="t"/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595959"/>
                    </a:solidFill>
                    <a:latin typeface="Arial Narrow"/>
                  </a:defRPr>
                </a:pPr>
                <a:r>
                  <a:rPr b="1" lang="pt-BR" sz="1000" spc="-1" strike="noStrike">
                    <a:solidFill>
                      <a:srgbClr val="595959"/>
                    </a:solidFill>
                    <a:latin typeface="Arial Narrow"/>
                  </a:rPr>
                  <a:t>Variação%</a:t>
                </a:r>
              </a:p>
            </c:rich>
          </c:tx>
          <c:layout>
            <c:manualLayout>
              <c:xMode val="edge"/>
              <c:yMode val="edge"/>
              <c:x val="0.968977197620621"/>
              <c:y val="0.46645454545454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6480">
            <a:solidFill>
              <a:srgbClr val="898989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96511967"/>
        <c:crosses val="max"/>
        <c:auto val="1"/>
        <c:lblAlgn val="ctr"/>
        <c:lblOffset val="100"/>
      </c:catAx>
      <c:valAx>
        <c:axId val="96511967"/>
        <c:scaling>
          <c:max val="4.000000"/>
          <c:min val="-0.200000"/>
          <c:orientation val="maxMin"/>
        </c:scaling>
        <c:delete val="0"/>
        <c:axPos val="r"/>
        <c:numFmt formatCode="0%" sourceLinked="0"/>
        <c:majorTickMark val="none"/>
        <c:minorTickMark val="out"/>
        <c:tickLblPos val="nextTo"/>
        <c:spPr>
          <a:ln w="648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1000" spc="-1" strike="noStrike">
                <a:solidFill>
                  <a:srgbClr val="000000"/>
                </a:solidFill>
                <a:latin typeface="Arial Narrow"/>
              </a:defRPr>
            </a:pPr>
          </a:p>
        </c:txPr>
        <c:crossAx val="1550292"/>
        <c:crosses val="min"/>
        <c:majorUnit val="0.5"/>
      </c:valAx>
      <c:spPr>
        <a:noFill/>
        <a:ln>
          <a:noFill/>
        </a:ln>
      </c:spPr>
    </c:plotArea>
    <c:plotVisOnly val="0"/>
    <c:dispBlanksAs val="gap"/>
  </c:chart>
  <c:spPr>
    <a:noFill/>
    <a:ln>
      <a:noFill/>
    </a:ln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'Educação_-_Gráficos'!$R$6</c:f>
              <c:strCache>
                <c:ptCount val="1"/>
                <c:pt idx="0">
                  <c:v>Limite Mínimo (ao final do Exercício)</c:v>
                </c:pt>
              </c:strCache>
            </c:strRef>
          </c:tx>
          <c:spPr>
            <a:ln w="12600">
              <a:solidFill>
                <a:srgbClr val="7030a0">
                  <a:alpha val="0"/>
                </a:srgbClr>
              </a:solidFill>
              <a:custDash/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lang="pt-BR" sz="1599" spc="-1" strike="noStrike">
                    <a:solidFill>
                      <a:srgbClr val="40404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'Educação_-_Gráficos'!$R$8</c:f>
              <c:strCache>
                <c:ptCount val="1"/>
                <c:pt idx="0">
                  <c:v>Limite Máximo Percentual</c:v>
                </c:pt>
              </c:strCache>
            </c:strRef>
          </c:cat>
          <c:val>
            <c:numRef>
              <c:f>'Educação_-_Gráficos'!$W$6</c:f>
              <c:numCache>
                <c:formatCode>General</c:formatCode>
                <c:ptCount val="1"/>
                <c:pt idx="0">
                  <c:v>55.59955397</c:v>
                </c:pt>
              </c:numCache>
            </c:numRef>
          </c:val>
        </c:ser>
        <c:ser>
          <c:idx val="1"/>
          <c:order val="1"/>
          <c:tx>
            <c:strRef>
              <c:f>'Educação_-_Gráficos'!$R$7</c:f>
              <c:strCache>
                <c:ptCount val="1"/>
                <c:pt idx="0">
                  <c:v>Despesas Executadas até 44440</c:v>
                </c:pt>
              </c:strCache>
            </c:strRef>
          </c:tx>
          <c:spPr>
            <a:solidFill>
              <a:srgbClr val="4d39b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lang="pt-BR" sz="1599" spc="-1" strike="noStrike">
                    <a:solidFill>
                      <a:srgbClr val="40404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'Educação_-_Gráficos'!$R$8</c:f>
              <c:strCache>
                <c:ptCount val="1"/>
                <c:pt idx="0">
                  <c:v>Limite Máximo Percentual</c:v>
                </c:pt>
              </c:strCache>
            </c:strRef>
          </c:cat>
          <c:val>
            <c:numRef>
              <c:f>'Educação_-_Gráficos'!$W$7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ffffff">
                <a:alpha val="2000"/>
              </a:srgbClr>
            </a:solidFill>
            <a:ln w="9360">
              <a:solidFill>
                <a:srgbClr val="ffffff">
                  <a:alpha val="200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lang="pt-BR" sz="1599" spc="-1" strike="noStrike">
                    <a:solidFill>
                      <a:srgbClr val="404040"/>
                    </a:solidFill>
                    <a:latin typeface="Arial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'Educação_-_Gráficos'!$R$8</c:f>
              <c:strCache>
                <c:ptCount val="1"/>
                <c:pt idx="0">
                  <c:v>Limite Máximo Percentual</c:v>
                </c:pt>
              </c:strCache>
            </c:strRef>
          </c:cat>
          <c:val>
            <c:numRef>
              <c:f>'Educação_-_Gráficos'!$W$9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28"/>
        <c:overlap val="100"/>
        <c:axId val="5669354"/>
        <c:axId val="49264633"/>
      </c:barChart>
      <c:catAx>
        <c:axId val="5669354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1399" spc="-1" strike="noStrike">
                <a:solidFill>
                  <a:srgbClr val="595959"/>
                </a:solidFill>
                <a:latin typeface="Arial Narrow"/>
              </a:defRPr>
            </a:pPr>
          </a:p>
        </c:txPr>
        <c:crossAx val="49264633"/>
        <c:crosses val="max"/>
        <c:auto val="1"/>
        <c:lblAlgn val="ctr"/>
        <c:lblOffset val="100"/>
      </c:catAx>
      <c:valAx>
        <c:axId val="49264633"/>
        <c:scaling>
          <c:max val="1.500000"/>
          <c:orientation val="minMax"/>
        </c:scaling>
        <c:delete val="1"/>
        <c:axPos val="r"/>
        <c:numFmt formatCode="0.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pt-BR" sz="1399" spc="-1" strike="noStrike">
                <a:solidFill>
                  <a:srgbClr val="595959"/>
                </a:solidFill>
                <a:latin typeface="Arial Narrow"/>
              </a:defRPr>
            </a:pPr>
          </a:p>
        </c:txPr>
        <c:crossAx val="5669354"/>
        <c:crosses val="max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0529932148071803"/>
          <c:y val="0.7713452728029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pt-BR" sz="1049" spc="-1" strike="noStrike">
              <a:solidFill>
                <a:srgbClr val="595959"/>
              </a:solidFill>
              <a:latin typeface="Arial Narrow"/>
            </a:defRPr>
          </a:pPr>
        </a:p>
      </c:txPr>
    </c:legend>
    <c:plotVisOnly val="0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138</xdr:col>
      <xdr:colOff>1047600</xdr:colOff>
      <xdr:row>33</xdr:row>
      <xdr:rowOff>15120</xdr:rowOff>
    </xdr:from>
    <xdr:to>
      <xdr:col>148</xdr:col>
      <xdr:colOff>495000</xdr:colOff>
      <xdr:row>56</xdr:row>
      <xdr:rowOff>63360</xdr:rowOff>
    </xdr:to>
    <xdr:graphicFrame>
      <xdr:nvGraphicFramePr>
        <xdr:cNvPr id="0" name="Gráfico 3"/>
        <xdr:cNvGraphicFramePr/>
      </xdr:nvGraphicFramePr>
      <xdr:xfrm>
        <a:off x="147980160" y="5379480"/>
        <a:ext cx="10229760" cy="378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673560</xdr:colOff>
      <xdr:row>39</xdr:row>
      <xdr:rowOff>65880</xdr:rowOff>
    </xdr:from>
    <xdr:to>
      <xdr:col>7</xdr:col>
      <xdr:colOff>721440</xdr:colOff>
      <xdr:row>61</xdr:row>
      <xdr:rowOff>138600</xdr:rowOff>
    </xdr:to>
    <xdr:graphicFrame>
      <xdr:nvGraphicFramePr>
        <xdr:cNvPr id="1" name="Gráfico 2"/>
        <xdr:cNvGraphicFramePr/>
      </xdr:nvGraphicFramePr>
      <xdr:xfrm>
        <a:off x="673560" y="6405480"/>
        <a:ext cx="7810560" cy="36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39</xdr:col>
      <xdr:colOff>1047240</xdr:colOff>
      <xdr:row>40</xdr:row>
      <xdr:rowOff>127800</xdr:rowOff>
    </xdr:from>
    <xdr:to>
      <xdr:col>52</xdr:col>
      <xdr:colOff>823320</xdr:colOff>
      <xdr:row>68</xdr:row>
      <xdr:rowOff>13680</xdr:rowOff>
    </xdr:to>
    <xdr:graphicFrame>
      <xdr:nvGraphicFramePr>
        <xdr:cNvPr id="2" name="Gráfico 4"/>
        <xdr:cNvGraphicFramePr/>
      </xdr:nvGraphicFramePr>
      <xdr:xfrm>
        <a:off x="41518800" y="6630120"/>
        <a:ext cx="13358880" cy="443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43920</xdr:colOff>
      <xdr:row>63</xdr:row>
      <xdr:rowOff>74160</xdr:rowOff>
    </xdr:from>
    <xdr:to>
      <xdr:col>37</xdr:col>
      <xdr:colOff>765360</xdr:colOff>
      <xdr:row>87</xdr:row>
      <xdr:rowOff>59400</xdr:rowOff>
    </xdr:to>
    <xdr:graphicFrame>
      <xdr:nvGraphicFramePr>
        <xdr:cNvPr id="3" name="Gráfico 5"/>
        <xdr:cNvGraphicFramePr/>
      </xdr:nvGraphicFramePr>
      <xdr:xfrm>
        <a:off x="29961720" y="10315440"/>
        <a:ext cx="9179640" cy="388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1751400</xdr:colOff>
      <xdr:row>19</xdr:row>
      <xdr:rowOff>19080</xdr:rowOff>
    </xdr:from>
    <xdr:to>
      <xdr:col>12</xdr:col>
      <xdr:colOff>853560</xdr:colOff>
      <xdr:row>52</xdr:row>
      <xdr:rowOff>98640</xdr:rowOff>
    </xdr:to>
    <xdr:graphicFrame>
      <xdr:nvGraphicFramePr>
        <xdr:cNvPr id="41" name="Gráfico 2"/>
        <xdr:cNvGraphicFramePr/>
      </xdr:nvGraphicFramePr>
      <xdr:xfrm>
        <a:off x="1751400" y="3135600"/>
        <a:ext cx="12836880" cy="54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2520</xdr:colOff>
      <xdr:row>21</xdr:row>
      <xdr:rowOff>46080</xdr:rowOff>
    </xdr:from>
    <xdr:to>
      <xdr:col>21</xdr:col>
      <xdr:colOff>783720</xdr:colOff>
      <xdr:row>46</xdr:row>
      <xdr:rowOff>7200</xdr:rowOff>
    </xdr:to>
    <xdr:graphicFrame>
      <xdr:nvGraphicFramePr>
        <xdr:cNvPr id="42" name="Gráfico 5"/>
        <xdr:cNvGraphicFramePr/>
      </xdr:nvGraphicFramePr>
      <xdr:xfrm>
        <a:off x="15623280" y="3487680"/>
        <a:ext cx="9258480" cy="402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1422000</xdr:colOff>
      <xdr:row>78</xdr:row>
      <xdr:rowOff>46440</xdr:rowOff>
    </xdr:from>
    <xdr:to>
      <xdr:col>25</xdr:col>
      <xdr:colOff>333720</xdr:colOff>
      <xdr:row>105</xdr:row>
      <xdr:rowOff>88560</xdr:rowOff>
    </xdr:to>
    <xdr:graphicFrame>
      <xdr:nvGraphicFramePr>
        <xdr:cNvPr id="43" name="Gráfico 7"/>
        <xdr:cNvGraphicFramePr/>
      </xdr:nvGraphicFramePr>
      <xdr:xfrm>
        <a:off x="18004680" y="13005360"/>
        <a:ext cx="9313200" cy="443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257040</xdr:colOff>
      <xdr:row>81</xdr:row>
      <xdr:rowOff>139320</xdr:rowOff>
    </xdr:from>
    <xdr:to>
      <xdr:col>14</xdr:col>
      <xdr:colOff>2160</xdr:colOff>
      <xdr:row>110</xdr:row>
      <xdr:rowOff>23040</xdr:rowOff>
    </xdr:to>
    <xdr:graphicFrame>
      <xdr:nvGraphicFramePr>
        <xdr:cNvPr id="44" name="Gráfico 4"/>
        <xdr:cNvGraphicFramePr/>
      </xdr:nvGraphicFramePr>
      <xdr:xfrm>
        <a:off x="257040" y="13586040"/>
        <a:ext cx="15365880" cy="459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1067400</xdr:colOff>
      <xdr:row>7</xdr:row>
      <xdr:rowOff>284040</xdr:rowOff>
    </xdr:from>
    <xdr:to>
      <xdr:col>11</xdr:col>
      <xdr:colOff>554040</xdr:colOff>
      <xdr:row>27</xdr:row>
      <xdr:rowOff>122760</xdr:rowOff>
    </xdr:to>
    <xdr:graphicFrame>
      <xdr:nvGraphicFramePr>
        <xdr:cNvPr id="45" name="Gráfico 1"/>
        <xdr:cNvGraphicFramePr/>
      </xdr:nvGraphicFramePr>
      <xdr:xfrm>
        <a:off x="2248200" y="1638360"/>
        <a:ext cx="8030520" cy="34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508320</xdr:colOff>
      <xdr:row>36</xdr:row>
      <xdr:rowOff>142920</xdr:rowOff>
    </xdr:from>
    <xdr:to>
      <xdr:col>11</xdr:col>
      <xdr:colOff>689400</xdr:colOff>
      <xdr:row>57</xdr:row>
      <xdr:rowOff>43920</xdr:rowOff>
    </xdr:to>
    <xdr:graphicFrame>
      <xdr:nvGraphicFramePr>
        <xdr:cNvPr id="46" name=""/>
        <xdr:cNvGraphicFramePr/>
      </xdr:nvGraphicFramePr>
      <xdr:xfrm>
        <a:off x="1689120" y="6707520"/>
        <a:ext cx="8724960" cy="358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1719720</xdr:colOff>
      <xdr:row>55</xdr:row>
      <xdr:rowOff>117000</xdr:rowOff>
    </xdr:from>
    <xdr:to>
      <xdr:col>6</xdr:col>
      <xdr:colOff>288360</xdr:colOff>
      <xdr:row>57</xdr:row>
      <xdr:rowOff>43920</xdr:rowOff>
    </xdr:to>
    <xdr:sp>
      <xdr:nvSpPr>
        <xdr:cNvPr id="47" name="TextShape 1"/>
        <xdr:cNvSpPr txBox="1"/>
      </xdr:nvSpPr>
      <xdr:spPr>
        <a:xfrm>
          <a:off x="5939280" y="10011240"/>
          <a:ext cx="987840" cy="27756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txBody>
        <a:bodyPr lIns="0" rIns="0" tIns="0" bIns="0">
          <a:spAutoFit/>
        </a:bodyPr>
        <a:p>
          <a:r>
            <a:rPr b="0" lang="pt-BR" sz="1200" spc="-1" strike="noStrike">
              <a:latin typeface="Times New Roman"/>
            </a:rPr>
            <a:t>AJUSTES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370080</xdr:colOff>
      <xdr:row>55</xdr:row>
      <xdr:rowOff>125280</xdr:rowOff>
    </xdr:from>
    <xdr:to>
      <xdr:col>11</xdr:col>
      <xdr:colOff>448920</xdr:colOff>
      <xdr:row>57</xdr:row>
      <xdr:rowOff>111960</xdr:rowOff>
    </xdr:to>
    <xdr:sp>
      <xdr:nvSpPr>
        <xdr:cNvPr id="48" name="TextShape 1"/>
        <xdr:cNvSpPr txBox="1"/>
      </xdr:nvSpPr>
      <xdr:spPr>
        <a:xfrm>
          <a:off x="8913960" y="10019520"/>
          <a:ext cx="1259640" cy="33732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txBody>
        <a:bodyPr lIns="0" rIns="0" tIns="0" bIns="0">
          <a:spAutoFit/>
        </a:bodyPr>
        <a:p>
          <a:r>
            <a:rPr b="0" lang="pt-BR" sz="1200" spc="-1" strike="noStrike">
              <a:latin typeface="Times New Roman"/>
            </a:rPr>
            <a:t>RESULTADO NOMINAL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13680</xdr:colOff>
      <xdr:row>59</xdr:row>
      <xdr:rowOff>25560</xdr:rowOff>
    </xdr:from>
    <xdr:to>
      <xdr:col>11</xdr:col>
      <xdr:colOff>197280</xdr:colOff>
      <xdr:row>78</xdr:row>
      <xdr:rowOff>56520</xdr:rowOff>
    </xdr:to>
    <xdr:graphicFrame>
      <xdr:nvGraphicFramePr>
        <xdr:cNvPr id="49" name=""/>
        <xdr:cNvGraphicFramePr/>
      </xdr:nvGraphicFramePr>
      <xdr:xfrm>
        <a:off x="1194480" y="10621080"/>
        <a:ext cx="8727480" cy="33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1149120</xdr:colOff>
      <xdr:row>68</xdr:row>
      <xdr:rowOff>21960</xdr:rowOff>
    </xdr:from>
    <xdr:to>
      <xdr:col>7</xdr:col>
      <xdr:colOff>14040</xdr:colOff>
      <xdr:row>71</xdr:row>
      <xdr:rowOff>78480</xdr:rowOff>
    </xdr:to>
    <xdr:sp>
      <xdr:nvSpPr>
        <xdr:cNvPr id="50" name="TextShape 1"/>
        <xdr:cNvSpPr txBox="1"/>
      </xdr:nvSpPr>
      <xdr:spPr>
        <a:xfrm>
          <a:off x="3539880" y="12194640"/>
          <a:ext cx="3836880" cy="58248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txBody>
        <a:bodyPr lIns="0" rIns="0" tIns="0" bIns="0">
          <a:spAutoFit/>
        </a:bodyPr>
        <a:p>
          <a:r>
            <a:rPr b="0" lang="pt-BR" sz="1200" spc="-1" strike="noStrike">
              <a:latin typeface="Times New Roman"/>
            </a:rPr>
            <a:t>Receitas Primárias maiores do que as Despesas Primárias no período de JANEIRO a MAIO de 2018,</a:t>
          </a:r>
          <a:br/>
          <a:r>
            <a:rPr b="0" lang="pt-BR" sz="1200" spc="-1" strike="noStrike">
              <a:latin typeface="Times New Roman"/>
            </a:rPr>
            <a:t>ou seja, Resultado Primário POSITIVO do período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356760</xdr:colOff>
      <xdr:row>68</xdr:row>
      <xdr:rowOff>43200</xdr:rowOff>
    </xdr:from>
    <xdr:to>
      <xdr:col>10</xdr:col>
      <xdr:colOff>421920</xdr:colOff>
      <xdr:row>70</xdr:row>
      <xdr:rowOff>110160</xdr:rowOff>
    </xdr:to>
    <xdr:sp>
      <xdr:nvSpPr>
        <xdr:cNvPr id="51" name="TextShape 1"/>
        <xdr:cNvSpPr txBox="1"/>
      </xdr:nvSpPr>
      <xdr:spPr>
        <a:xfrm>
          <a:off x="8309880" y="12215880"/>
          <a:ext cx="1246320" cy="41760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txBody>
        <a:bodyPr lIns="0" rIns="0" tIns="0" bIns="0">
          <a:spAutoFit/>
        </a:bodyPr>
        <a:p>
          <a:r>
            <a:rPr b="0" lang="pt-BR" sz="1200" spc="-1" strike="noStrike">
              <a:latin typeface="Times New Roman"/>
            </a:rPr>
            <a:t>RESULTADO POSITIVO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15</xdr:col>
      <xdr:colOff>1922400</xdr:colOff>
      <xdr:row>16</xdr:row>
      <xdr:rowOff>32400</xdr:rowOff>
    </xdr:from>
    <xdr:to>
      <xdr:col>24</xdr:col>
      <xdr:colOff>363960</xdr:colOff>
      <xdr:row>36</xdr:row>
      <xdr:rowOff>163800</xdr:rowOff>
    </xdr:to>
    <xdr:graphicFrame>
      <xdr:nvGraphicFramePr>
        <xdr:cNvPr id="52" name="Gráfico 5"/>
        <xdr:cNvGraphicFramePr/>
      </xdr:nvGraphicFramePr>
      <xdr:xfrm>
        <a:off x="17057520" y="3091680"/>
        <a:ext cx="6594840" cy="363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515160</xdr:colOff>
      <xdr:row>2</xdr:row>
      <xdr:rowOff>21240</xdr:rowOff>
    </xdr:from>
    <xdr:to>
      <xdr:col>19</xdr:col>
      <xdr:colOff>372960</xdr:colOff>
      <xdr:row>22</xdr:row>
      <xdr:rowOff>97200</xdr:rowOff>
    </xdr:to>
    <xdr:graphicFrame>
      <xdr:nvGraphicFramePr>
        <xdr:cNvPr id="53" name="Gráfico 1"/>
        <xdr:cNvGraphicFramePr/>
      </xdr:nvGraphicFramePr>
      <xdr:xfrm>
        <a:off x="8306280" y="371520"/>
        <a:ext cx="7535160" cy="358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295920</xdr:colOff>
      <xdr:row>23</xdr:row>
      <xdr:rowOff>18720</xdr:rowOff>
    </xdr:from>
    <xdr:to>
      <xdr:col>29</xdr:col>
      <xdr:colOff>48240</xdr:colOff>
      <xdr:row>45</xdr:row>
      <xdr:rowOff>100080</xdr:rowOff>
    </xdr:to>
    <xdr:graphicFrame>
      <xdr:nvGraphicFramePr>
        <xdr:cNvPr id="4" name="grafico_rcl_pib"/>
        <xdr:cNvGraphicFramePr/>
      </xdr:nvGraphicFramePr>
      <xdr:xfrm>
        <a:off x="10763640" y="3819600"/>
        <a:ext cx="7610400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13</xdr:row>
      <xdr:rowOff>108360</xdr:rowOff>
    </xdr:from>
    <xdr:to>
      <xdr:col>15</xdr:col>
      <xdr:colOff>421560</xdr:colOff>
      <xdr:row>14</xdr:row>
      <xdr:rowOff>178920</xdr:rowOff>
    </xdr:to>
    <xdr:sp>
      <xdr:nvSpPr>
        <xdr:cNvPr id="5" name="CustomShape 1"/>
        <xdr:cNvSpPr/>
      </xdr:nvSpPr>
      <xdr:spPr>
        <a:xfrm>
          <a:off x="6657840" y="1866960"/>
          <a:ext cx="3621960" cy="337320"/>
        </a:xfrm>
        <a:custGeom>
          <a:avLst/>
          <a:gdLst/>
          <a:ahLst/>
          <a:rect l="0" t="0" r="r" b="b"/>
          <a:pathLst>
            <a:path w="10063" h="939">
              <a:moveTo>
                <a:pt x="0" y="234"/>
              </a:moveTo>
              <a:lnTo>
                <a:pt x="5031" y="234"/>
              </a:lnTo>
              <a:lnTo>
                <a:pt x="5031" y="0"/>
              </a:lnTo>
              <a:lnTo>
                <a:pt x="10062" y="469"/>
              </a:lnTo>
              <a:lnTo>
                <a:pt x="5031" y="938"/>
              </a:lnTo>
              <a:lnTo>
                <a:pt x="5031" y="703"/>
              </a:lnTo>
              <a:lnTo>
                <a:pt x="0" y="703"/>
              </a:lnTo>
              <a:lnTo>
                <a:pt x="0" y="234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>
          <a:spAutoFit/>
        </a:bodyPr>
        <a:p>
          <a:r>
            <a:rPr b="0" lang="pt-BR" sz="1200" spc="-1" strike="noStrike">
              <a:latin typeface="Times New Roman"/>
            </a:rPr>
            <a:t>TEXTO QUE VAI NO SLIDE DE RCL/PIB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202320</xdr:colOff>
      <xdr:row>8</xdr:row>
      <xdr:rowOff>124560</xdr:rowOff>
    </xdr:from>
    <xdr:to>
      <xdr:col>16</xdr:col>
      <xdr:colOff>1060560</xdr:colOff>
      <xdr:row>31</xdr:row>
      <xdr:rowOff>53640</xdr:rowOff>
    </xdr:to>
    <xdr:graphicFrame>
      <xdr:nvGraphicFramePr>
        <xdr:cNvPr id="6" name="Gráfico 1"/>
        <xdr:cNvGraphicFramePr/>
      </xdr:nvGraphicFramePr>
      <xdr:xfrm>
        <a:off x="14632560" y="1526400"/>
        <a:ext cx="8249760" cy="396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324000</xdr:colOff>
      <xdr:row>16</xdr:row>
      <xdr:rowOff>6120</xdr:rowOff>
    </xdr:from>
    <xdr:to>
      <xdr:col>7</xdr:col>
      <xdr:colOff>248040</xdr:colOff>
      <xdr:row>27</xdr:row>
      <xdr:rowOff>154440</xdr:rowOff>
    </xdr:to>
    <xdr:cxnSp>
      <xdr:nvCxnSpPr>
        <xdr:cNvPr id="7" name="Line 1"/>
        <xdr:cNvCxnSpPr/>
        <xdr:nvPr/>
      </xdr:nvCxnSpPr>
      <xdr:spPr>
        <a:xfrm>
          <a:off x="9239400" y="2810160"/>
          <a:ext cx="1352880" cy="2076480"/>
        </a:xfrm>
        <a:prstGeom prst="straightConnector1">
          <a:avLst/>
        </a:prstGeom>
        <a:ln>
          <a:solidFill>
            <a:srgbClr val="3465a4"/>
          </a:solidFill>
        </a:ln>
      </xdr:spPr>
    </xdr:cxnSp>
    <xdr:clientData/>
  </xdr:twoCellAnchor>
  <xdr:twoCellAnchor editAs="oneCell">
    <xdr:from>
      <xdr:col>6</xdr:col>
      <xdr:colOff>333360</xdr:colOff>
      <xdr:row>15</xdr:row>
      <xdr:rowOff>105120</xdr:rowOff>
    </xdr:from>
    <xdr:to>
      <xdr:col>7</xdr:col>
      <xdr:colOff>333720</xdr:colOff>
      <xdr:row>26</xdr:row>
      <xdr:rowOff>149040</xdr:rowOff>
    </xdr:to>
    <xdr:cxnSp>
      <xdr:nvCxnSpPr>
        <xdr:cNvPr id="8" name="Line 1"/>
        <xdr:cNvCxnSpPr/>
        <xdr:nvPr/>
      </xdr:nvCxnSpPr>
      <xdr:spPr>
        <a:xfrm flipV="1">
          <a:off x="9248760" y="2733840"/>
          <a:ext cx="1429200" cy="1972080"/>
        </a:xfrm>
        <a:prstGeom prst="straightConnector1">
          <a:avLst/>
        </a:prstGeom>
        <a:ln>
          <a:solidFill>
            <a:srgbClr val="3465a4"/>
          </a:solidFill>
        </a:ln>
      </xdr:spPr>
    </xdr:cxnSp>
    <xdr:clientData/>
  </xdr:twoCellAnchor>
  <xdr:twoCellAnchor editAs="oneCell">
    <xdr:from>
      <xdr:col>6</xdr:col>
      <xdr:colOff>358920</xdr:colOff>
      <xdr:row>19</xdr:row>
      <xdr:rowOff>71640</xdr:rowOff>
    </xdr:from>
    <xdr:to>
      <xdr:col>7</xdr:col>
      <xdr:colOff>360000</xdr:colOff>
      <xdr:row>23</xdr:row>
      <xdr:rowOff>172800</xdr:rowOff>
    </xdr:to>
    <xdr:cxnSp>
      <xdr:nvCxnSpPr>
        <xdr:cNvPr id="9" name="Line 1"/>
        <xdr:cNvCxnSpPr/>
        <xdr:nvPr/>
      </xdr:nvCxnSpPr>
      <xdr:spPr>
        <a:xfrm flipV="1">
          <a:off x="9274320" y="3401280"/>
          <a:ext cx="1429920" cy="802800"/>
        </a:xfrm>
        <a:prstGeom prst="straightConnector1">
          <a:avLst/>
        </a:prstGeom>
        <a:ln>
          <a:solidFill>
            <a:srgbClr val="3465a4"/>
          </a:solidFill>
        </a:ln>
      </xdr:spPr>
    </xdr:cxnSp>
    <xdr:clientData/>
  </xdr:twoCellAnchor>
  <xdr:twoCellAnchor editAs="oneCell">
    <xdr:from>
      <xdr:col>6</xdr:col>
      <xdr:colOff>355680</xdr:colOff>
      <xdr:row>19</xdr:row>
      <xdr:rowOff>32760</xdr:rowOff>
    </xdr:from>
    <xdr:to>
      <xdr:col>7</xdr:col>
      <xdr:colOff>354960</xdr:colOff>
      <xdr:row>23</xdr:row>
      <xdr:rowOff>80640</xdr:rowOff>
    </xdr:to>
    <xdr:cxnSp>
      <xdr:nvCxnSpPr>
        <xdr:cNvPr id="10" name="Line 1"/>
        <xdr:cNvCxnSpPr/>
        <xdr:nvPr/>
      </xdr:nvCxnSpPr>
      <xdr:spPr>
        <a:xfrm>
          <a:off x="9271080" y="3362400"/>
          <a:ext cx="1428120" cy="749520"/>
        </a:xfrm>
        <a:prstGeom prst="straightConnector1">
          <a:avLst/>
        </a:prstGeom>
        <a:ln>
          <a:solidFill>
            <a:srgbClr val="3465a4"/>
          </a:solidFill>
        </a:ln>
      </xdr:spPr>
    </xdr:cxnSp>
    <xdr:clientData/>
  </xdr:twoCellAnchor>
  <xdr:twoCellAnchor editAs="oneCell">
    <xdr:from>
      <xdr:col>10</xdr:col>
      <xdr:colOff>293760</xdr:colOff>
      <xdr:row>31</xdr:row>
      <xdr:rowOff>75240</xdr:rowOff>
    </xdr:from>
    <xdr:to>
      <xdr:col>17</xdr:col>
      <xdr:colOff>48960</xdr:colOff>
      <xdr:row>54</xdr:row>
      <xdr:rowOff>3960</xdr:rowOff>
    </xdr:to>
    <xdr:graphicFrame>
      <xdr:nvGraphicFramePr>
        <xdr:cNvPr id="11" name="Gráfico 12"/>
        <xdr:cNvGraphicFramePr/>
      </xdr:nvGraphicFramePr>
      <xdr:xfrm>
        <a:off x="14724000" y="5508000"/>
        <a:ext cx="8241840" cy="396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203760</xdr:colOff>
      <xdr:row>54</xdr:row>
      <xdr:rowOff>129600</xdr:rowOff>
    </xdr:from>
    <xdr:to>
      <xdr:col>17</xdr:col>
      <xdr:colOff>432000</xdr:colOff>
      <xdr:row>77</xdr:row>
      <xdr:rowOff>77760</xdr:rowOff>
    </xdr:to>
    <xdr:graphicFrame>
      <xdr:nvGraphicFramePr>
        <xdr:cNvPr id="12" name="Gráfico 21"/>
        <xdr:cNvGraphicFramePr/>
      </xdr:nvGraphicFramePr>
      <xdr:xfrm>
        <a:off x="14634000" y="9593640"/>
        <a:ext cx="8714880" cy="396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34560</xdr:colOff>
      <xdr:row>63</xdr:row>
      <xdr:rowOff>22320</xdr:rowOff>
    </xdr:from>
    <xdr:to>
      <xdr:col>25</xdr:col>
      <xdr:colOff>102240</xdr:colOff>
      <xdr:row>82</xdr:row>
      <xdr:rowOff>149760</xdr:rowOff>
    </xdr:to>
    <xdr:graphicFrame>
      <xdr:nvGraphicFramePr>
        <xdr:cNvPr id="13" name=""/>
        <xdr:cNvGraphicFramePr/>
      </xdr:nvGraphicFramePr>
      <xdr:xfrm>
        <a:off x="12359880" y="12033000"/>
        <a:ext cx="8382960" cy="345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22</xdr:col>
      <xdr:colOff>419400</xdr:colOff>
      <xdr:row>69</xdr:row>
      <xdr:rowOff>91440</xdr:rowOff>
    </xdr:from>
    <xdr:to>
      <xdr:col>22</xdr:col>
      <xdr:colOff>584640</xdr:colOff>
      <xdr:row>96</xdr:row>
      <xdr:rowOff>62280</xdr:rowOff>
    </xdr:to>
    <xdr:sp>
      <xdr:nvSpPr>
        <xdr:cNvPr id="14" name="CustomShape 1"/>
        <xdr:cNvSpPr/>
      </xdr:nvSpPr>
      <xdr:spPr>
        <a:xfrm rot="5400000">
          <a:off x="15006240" y="10884600"/>
          <a:ext cx="165240" cy="4703040"/>
        </a:xfrm>
        <a:custGeom>
          <a:avLst/>
          <a:gdLst/>
          <a:ahLst/>
          <a:rect l="l" t="t" r="r" b="b"/>
          <a:pathLst>
            <a:path w="43200" h="613487">
              <a:moveTo>
                <a:pt x="21600" y="613487"/>
              </a:moveTo>
              <a:lnTo>
                <a:pt x="10800" y="308543"/>
              </a:lnTo>
              <a:lnTo>
                <a:pt x="10800" y="1800"/>
              </a:lnTo>
              <a:close/>
              <a:moveTo>
                <a:pt x="21600" y="613487"/>
              </a:moveTo>
              <a:lnTo>
                <a:pt x="10800" y="308543"/>
              </a:lnTo>
              <a:lnTo>
                <a:pt x="10800" y="180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400680</xdr:colOff>
      <xdr:row>86</xdr:row>
      <xdr:rowOff>74160</xdr:rowOff>
    </xdr:from>
    <xdr:to>
      <xdr:col>25</xdr:col>
      <xdr:colOff>466920</xdr:colOff>
      <xdr:row>107</xdr:row>
      <xdr:rowOff>70560</xdr:rowOff>
    </xdr:to>
    <xdr:graphicFrame>
      <xdr:nvGraphicFramePr>
        <xdr:cNvPr id="15" name="Gráfico 3"/>
        <xdr:cNvGraphicFramePr/>
      </xdr:nvGraphicFramePr>
      <xdr:xfrm>
        <a:off x="15049800" y="16116120"/>
        <a:ext cx="6057720" cy="367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1047600</xdr:colOff>
      <xdr:row>47</xdr:row>
      <xdr:rowOff>146880</xdr:rowOff>
    </xdr:from>
    <xdr:to>
      <xdr:col>17</xdr:col>
      <xdr:colOff>1823400</xdr:colOff>
      <xdr:row>75</xdr:row>
      <xdr:rowOff>69120</xdr:rowOff>
    </xdr:to>
    <xdr:graphicFrame>
      <xdr:nvGraphicFramePr>
        <xdr:cNvPr id="16" name=""/>
        <xdr:cNvGraphicFramePr/>
      </xdr:nvGraphicFramePr>
      <xdr:xfrm>
        <a:off x="1047600" y="9216360"/>
        <a:ext cx="10719720" cy="49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17</xdr:col>
      <xdr:colOff>217440</xdr:colOff>
      <xdr:row>55</xdr:row>
      <xdr:rowOff>173160</xdr:rowOff>
    </xdr:from>
    <xdr:to>
      <xdr:col>17</xdr:col>
      <xdr:colOff>450000</xdr:colOff>
      <xdr:row>105</xdr:row>
      <xdr:rowOff>60840</xdr:rowOff>
    </xdr:to>
    <xdr:sp>
      <xdr:nvSpPr>
        <xdr:cNvPr id="17" name="CustomShape 1"/>
        <xdr:cNvSpPr/>
      </xdr:nvSpPr>
      <xdr:spPr>
        <a:xfrm rot="5400000">
          <a:off x="5712120" y="6549840"/>
          <a:ext cx="232560" cy="8665920"/>
        </a:xfrm>
        <a:custGeom>
          <a:avLst/>
          <a:gdLst/>
          <a:ahLst/>
          <a:rect l="l" t="t" r="r" b="b"/>
          <a:pathLst>
            <a:path w="43200" h="803674">
              <a:moveTo>
                <a:pt x="21600" y="803674"/>
              </a:moveTo>
              <a:lnTo>
                <a:pt x="10800" y="403637"/>
              </a:lnTo>
              <a:lnTo>
                <a:pt x="10800" y="1800"/>
              </a:lnTo>
              <a:close/>
              <a:moveTo>
                <a:pt x="21600" y="803674"/>
              </a:moveTo>
              <a:lnTo>
                <a:pt x="10800" y="403637"/>
              </a:lnTo>
              <a:lnTo>
                <a:pt x="10800" y="180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1476000</xdr:colOff>
      <xdr:row>66</xdr:row>
      <xdr:rowOff>149760</xdr:rowOff>
    </xdr:from>
    <xdr:to>
      <xdr:col>0</xdr:col>
      <xdr:colOff>1575000</xdr:colOff>
      <xdr:row>105</xdr:row>
      <xdr:rowOff>46440</xdr:rowOff>
    </xdr:to>
    <xdr:sp>
      <xdr:nvSpPr>
        <xdr:cNvPr id="18" name="CustomShape 1"/>
        <xdr:cNvSpPr/>
      </xdr:nvSpPr>
      <xdr:spPr>
        <a:xfrm rot="16200000">
          <a:off x="4792320" y="9271080"/>
          <a:ext cx="99000" cy="6731640"/>
        </a:xfrm>
        <a:custGeom>
          <a:avLst/>
          <a:gdLst/>
          <a:ahLst/>
          <a:rect l="l" t="t" r="r" b="b"/>
          <a:pathLst>
            <a:path w="43200" h="1463478">
              <a:moveTo>
                <a:pt x="21600" y="1463478"/>
              </a:moveTo>
              <a:lnTo>
                <a:pt x="10800" y="733539"/>
              </a:lnTo>
              <a:lnTo>
                <a:pt x="10800" y="1800"/>
              </a:lnTo>
              <a:close/>
              <a:moveTo>
                <a:pt x="21600" y="1463478"/>
              </a:moveTo>
              <a:lnTo>
                <a:pt x="10800" y="733539"/>
              </a:lnTo>
              <a:lnTo>
                <a:pt x="10800" y="180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15</xdr:col>
      <xdr:colOff>142560</xdr:colOff>
      <xdr:row>67</xdr:row>
      <xdr:rowOff>1440</xdr:rowOff>
    </xdr:from>
    <xdr:to>
      <xdr:col>15</xdr:col>
      <xdr:colOff>282240</xdr:colOff>
      <xdr:row>77</xdr:row>
      <xdr:rowOff>34560</xdr:rowOff>
    </xdr:to>
    <xdr:sp>
      <xdr:nvSpPr>
        <xdr:cNvPr id="19" name="CustomShape 1"/>
        <xdr:cNvSpPr/>
      </xdr:nvSpPr>
      <xdr:spPr>
        <a:xfrm rot="16200000">
          <a:off x="9118800" y="11750760"/>
          <a:ext cx="139680" cy="1785600"/>
        </a:xfrm>
        <a:custGeom>
          <a:avLst/>
          <a:gdLst/>
          <a:ahLst/>
          <a:rect l="l" t="t" r="r" b="b"/>
          <a:pathLst>
            <a:path w="43200" h="275469">
              <a:moveTo>
                <a:pt x="21600" y="275469"/>
              </a:moveTo>
              <a:lnTo>
                <a:pt x="10800" y="139535"/>
              </a:lnTo>
              <a:lnTo>
                <a:pt x="10800" y="1800"/>
              </a:lnTo>
              <a:close/>
              <a:moveTo>
                <a:pt x="21600" y="275469"/>
              </a:moveTo>
              <a:lnTo>
                <a:pt x="10800" y="139535"/>
              </a:lnTo>
              <a:lnTo>
                <a:pt x="10800" y="180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2378520</xdr:colOff>
      <xdr:row>124</xdr:row>
      <xdr:rowOff>130320</xdr:rowOff>
    </xdr:from>
    <xdr:to>
      <xdr:col>24</xdr:col>
      <xdr:colOff>1323720</xdr:colOff>
      <xdr:row>139</xdr:row>
      <xdr:rowOff>146880</xdr:rowOff>
    </xdr:to>
    <xdr:graphicFrame>
      <xdr:nvGraphicFramePr>
        <xdr:cNvPr id="20" name=""/>
        <xdr:cNvGraphicFramePr/>
      </xdr:nvGraphicFramePr>
      <xdr:xfrm>
        <a:off x="12322440" y="22831920"/>
        <a:ext cx="8251200" cy="264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22</xdr:col>
      <xdr:colOff>298800</xdr:colOff>
      <xdr:row>129</xdr:row>
      <xdr:rowOff>5400</xdr:rowOff>
    </xdr:from>
    <xdr:to>
      <xdr:col>22</xdr:col>
      <xdr:colOff>493560</xdr:colOff>
      <xdr:row>154</xdr:row>
      <xdr:rowOff>114840</xdr:rowOff>
    </xdr:to>
    <xdr:sp>
      <xdr:nvSpPr>
        <xdr:cNvPr id="21" name="CustomShape 1"/>
        <xdr:cNvSpPr/>
      </xdr:nvSpPr>
      <xdr:spPr>
        <a:xfrm flipH="1" rot="16200000">
          <a:off x="14977080" y="21435120"/>
          <a:ext cx="194760" cy="4491000"/>
        </a:xfrm>
        <a:custGeom>
          <a:avLst/>
          <a:gdLst/>
          <a:ahLst/>
          <a:rect l="l" t="t" r="r" b="b"/>
          <a:pathLst>
            <a:path w="43200" h="497199">
              <a:moveTo>
                <a:pt x="21600" y="497199"/>
              </a:moveTo>
              <a:lnTo>
                <a:pt x="10800" y="250399"/>
              </a:lnTo>
              <a:lnTo>
                <a:pt x="10800" y="1800"/>
              </a:lnTo>
              <a:close/>
              <a:moveTo>
                <a:pt x="21600" y="497199"/>
              </a:moveTo>
              <a:lnTo>
                <a:pt x="10800" y="250399"/>
              </a:lnTo>
              <a:lnTo>
                <a:pt x="10800" y="180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638280</xdr:colOff>
      <xdr:row>12</xdr:row>
      <xdr:rowOff>106560</xdr:rowOff>
    </xdr:from>
    <xdr:to>
      <xdr:col>23</xdr:col>
      <xdr:colOff>1383120</xdr:colOff>
      <xdr:row>28</xdr:row>
      <xdr:rowOff>108360</xdr:rowOff>
    </xdr:to>
    <xdr:graphicFrame>
      <xdr:nvGraphicFramePr>
        <xdr:cNvPr id="22" name=""/>
        <xdr:cNvGraphicFramePr/>
      </xdr:nvGraphicFramePr>
      <xdr:xfrm>
        <a:off x="10620360" y="2209680"/>
        <a:ext cx="8202960" cy="300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22</xdr:col>
      <xdr:colOff>176760</xdr:colOff>
      <xdr:row>17</xdr:row>
      <xdr:rowOff>126000</xdr:rowOff>
    </xdr:from>
    <xdr:to>
      <xdr:col>22</xdr:col>
      <xdr:colOff>397800</xdr:colOff>
      <xdr:row>46</xdr:row>
      <xdr:rowOff>60120</xdr:rowOff>
    </xdr:to>
    <xdr:sp>
      <xdr:nvSpPr>
        <xdr:cNvPr id="23" name="CustomShape 1"/>
        <xdr:cNvSpPr/>
      </xdr:nvSpPr>
      <xdr:spPr>
        <a:xfrm flipH="1" rot="16200000">
          <a:off x="13655880" y="518040"/>
          <a:ext cx="221040" cy="5395680"/>
        </a:xfrm>
        <a:custGeom>
          <a:avLst/>
          <a:gdLst/>
          <a:ahLst/>
          <a:rect l="l" t="t" r="r" b="b"/>
          <a:pathLst>
            <a:path w="43200" h="526443">
              <a:moveTo>
                <a:pt x="21600" y="526443"/>
              </a:moveTo>
              <a:lnTo>
                <a:pt x="10800" y="265021"/>
              </a:lnTo>
              <a:lnTo>
                <a:pt x="10800" y="1800"/>
              </a:lnTo>
              <a:close/>
              <a:moveTo>
                <a:pt x="21600" y="526443"/>
              </a:moveTo>
              <a:lnTo>
                <a:pt x="10800" y="265021"/>
              </a:lnTo>
              <a:lnTo>
                <a:pt x="10800" y="180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299880</xdr:colOff>
      <xdr:row>15</xdr:row>
      <xdr:rowOff>74160</xdr:rowOff>
    </xdr:from>
    <xdr:to>
      <xdr:col>17</xdr:col>
      <xdr:colOff>214200</xdr:colOff>
      <xdr:row>35</xdr:row>
      <xdr:rowOff>40320</xdr:rowOff>
    </xdr:to>
    <xdr:graphicFrame>
      <xdr:nvGraphicFramePr>
        <xdr:cNvPr id="24" name=""/>
        <xdr:cNvGraphicFramePr/>
      </xdr:nvGraphicFramePr>
      <xdr:xfrm>
        <a:off x="299880" y="2702880"/>
        <a:ext cx="9896400" cy="377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12</xdr:col>
      <xdr:colOff>374400</xdr:colOff>
      <xdr:row>20</xdr:row>
      <xdr:rowOff>97200</xdr:rowOff>
    </xdr:from>
    <xdr:to>
      <xdr:col>13</xdr:col>
      <xdr:colOff>27360</xdr:colOff>
      <xdr:row>53</xdr:row>
      <xdr:rowOff>150840</xdr:rowOff>
    </xdr:to>
    <xdr:sp>
      <xdr:nvSpPr>
        <xdr:cNvPr id="25" name="CustomShape 1"/>
        <xdr:cNvSpPr/>
      </xdr:nvSpPr>
      <xdr:spPr>
        <a:xfrm flipH="1" rot="16200000">
          <a:off x="4549680" y="582120"/>
          <a:ext cx="176760" cy="6216480"/>
        </a:xfrm>
        <a:custGeom>
          <a:avLst/>
          <a:gdLst/>
          <a:ahLst/>
          <a:rect l="l" t="t" r="r" b="b"/>
          <a:pathLst>
            <a:path w="43200" h="758151">
              <a:moveTo>
                <a:pt x="21600" y="758151"/>
              </a:moveTo>
              <a:lnTo>
                <a:pt x="10800" y="380876"/>
              </a:lnTo>
              <a:lnTo>
                <a:pt x="10800" y="1800"/>
              </a:lnTo>
              <a:close/>
              <a:moveTo>
                <a:pt x="21600" y="758151"/>
              </a:moveTo>
              <a:lnTo>
                <a:pt x="10800" y="380876"/>
              </a:lnTo>
              <a:lnTo>
                <a:pt x="10800" y="180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405000</xdr:colOff>
      <xdr:row>26</xdr:row>
      <xdr:rowOff>182880</xdr:rowOff>
    </xdr:from>
    <xdr:to>
      <xdr:col>9</xdr:col>
      <xdr:colOff>457560</xdr:colOff>
      <xdr:row>35</xdr:row>
      <xdr:rowOff>27720</xdr:rowOff>
    </xdr:to>
    <xdr:sp>
      <xdr:nvSpPr>
        <xdr:cNvPr id="26" name="CustomShape 1"/>
        <xdr:cNvSpPr/>
      </xdr:nvSpPr>
      <xdr:spPr>
        <a:xfrm flipH="1" rot="5400000">
          <a:off x="6958800" y="4099320"/>
          <a:ext cx="52560" cy="1559160"/>
        </a:xfrm>
        <a:custGeom>
          <a:avLst/>
          <a:gdLst/>
          <a:ahLst/>
          <a:rect l="l" t="t" r="r" b="b"/>
          <a:pathLst>
            <a:path w="43200" h="636539">
              <a:moveTo>
                <a:pt x="21600" y="636539"/>
              </a:moveTo>
              <a:lnTo>
                <a:pt x="10800" y="320069"/>
              </a:lnTo>
              <a:lnTo>
                <a:pt x="10800" y="1800"/>
              </a:lnTo>
              <a:close/>
              <a:moveTo>
                <a:pt x="21600" y="636539"/>
              </a:moveTo>
              <a:lnTo>
                <a:pt x="10800" y="320069"/>
              </a:lnTo>
              <a:lnTo>
                <a:pt x="10800" y="180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1551600</xdr:colOff>
      <xdr:row>27</xdr:row>
      <xdr:rowOff>10080</xdr:rowOff>
    </xdr:from>
    <xdr:to>
      <xdr:col>0</xdr:col>
      <xdr:colOff>1625400</xdr:colOff>
      <xdr:row>52</xdr:row>
      <xdr:rowOff>47160</xdr:rowOff>
    </xdr:to>
    <xdr:sp>
      <xdr:nvSpPr>
        <xdr:cNvPr id="27" name="CustomShape 1"/>
        <xdr:cNvSpPr/>
      </xdr:nvSpPr>
      <xdr:spPr>
        <a:xfrm rot="16200000">
          <a:off x="3822840" y="2577600"/>
          <a:ext cx="73800" cy="4616640"/>
        </a:xfrm>
        <a:custGeom>
          <a:avLst/>
          <a:gdLst/>
          <a:ahLst/>
          <a:rect l="l" t="t" r="r" b="b"/>
          <a:pathLst>
            <a:path w="43200" h="1344757">
              <a:moveTo>
                <a:pt x="21600" y="1344757"/>
              </a:moveTo>
              <a:lnTo>
                <a:pt x="10800" y="674179"/>
              </a:lnTo>
              <a:lnTo>
                <a:pt x="10800" y="1800"/>
              </a:lnTo>
              <a:close/>
              <a:moveTo>
                <a:pt x="21600" y="1344757"/>
              </a:moveTo>
              <a:lnTo>
                <a:pt x="10800" y="674179"/>
              </a:lnTo>
              <a:lnTo>
                <a:pt x="10800" y="180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226800</xdr:colOff>
      <xdr:row>37</xdr:row>
      <xdr:rowOff>36000</xdr:rowOff>
    </xdr:from>
    <xdr:to>
      <xdr:col>14</xdr:col>
      <xdr:colOff>201600</xdr:colOff>
      <xdr:row>38</xdr:row>
      <xdr:rowOff>59400</xdr:rowOff>
    </xdr:to>
    <xdr:sp>
      <xdr:nvSpPr>
        <xdr:cNvPr id="28" name="CustomShape 1"/>
        <xdr:cNvSpPr/>
      </xdr:nvSpPr>
      <xdr:spPr>
        <a:xfrm>
          <a:off x="2883960" y="6853680"/>
          <a:ext cx="5737680" cy="214200"/>
        </a:xfrm>
        <a:custGeom>
          <a:avLst/>
          <a:gdLst/>
          <a:ahLst/>
          <a:rect l="0" t="0" r="r" b="b"/>
          <a:pathLst>
            <a:path w="15940" h="597">
              <a:moveTo>
                <a:pt x="3984" y="596"/>
              </a:moveTo>
              <a:lnTo>
                <a:pt x="3984" y="254"/>
              </a:lnTo>
              <a:lnTo>
                <a:pt x="0" y="254"/>
              </a:lnTo>
              <a:lnTo>
                <a:pt x="7969" y="0"/>
              </a:lnTo>
              <a:lnTo>
                <a:pt x="15939" y="254"/>
              </a:lnTo>
              <a:lnTo>
                <a:pt x="11954" y="254"/>
              </a:lnTo>
              <a:lnTo>
                <a:pt x="11954" y="596"/>
              </a:lnTo>
              <a:lnTo>
                <a:pt x="3984" y="596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>
          <a:spAutoFit/>
        </a:bodyPr>
        <a:p>
          <a:r>
            <a:rPr b="0" lang="pt-BR" sz="1200" spc="-1" strike="noStrike">
              <a:latin typeface="Times New Roman"/>
            </a:rPr>
            <a:t>Usar quando o executado ultrapassar o mínimo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16560</xdr:colOff>
      <xdr:row>29</xdr:row>
      <xdr:rowOff>129960</xdr:rowOff>
    </xdr:from>
    <xdr:to>
      <xdr:col>2</xdr:col>
      <xdr:colOff>159480</xdr:colOff>
      <xdr:row>30</xdr:row>
      <xdr:rowOff>97560</xdr:rowOff>
    </xdr:to>
    <xdr:clientData/>
  </xdr:twoCellAnchor>
  <xdr:twoCellAnchor editAs="oneCell">
    <xdr:from>
      <xdr:col>2</xdr:col>
      <xdr:colOff>17640</xdr:colOff>
      <xdr:row>28</xdr:row>
      <xdr:rowOff>97560</xdr:rowOff>
    </xdr:from>
    <xdr:to>
      <xdr:col>2</xdr:col>
      <xdr:colOff>161640</xdr:colOff>
      <xdr:row>29</xdr:row>
      <xdr:rowOff>66240</xdr:rowOff>
    </xdr:to>
    <xdr:clientData/>
  </xdr:twoCellAnchor>
  <xdr:twoCellAnchor editAs="oneCell">
    <xdr:from>
      <xdr:col>2</xdr:col>
      <xdr:colOff>17640</xdr:colOff>
      <xdr:row>27</xdr:row>
      <xdr:rowOff>63000</xdr:rowOff>
    </xdr:from>
    <xdr:to>
      <xdr:col>2</xdr:col>
      <xdr:colOff>161640</xdr:colOff>
      <xdr:row>28</xdr:row>
      <xdr:rowOff>31680</xdr:rowOff>
    </xdr:to>
    <xdr:clientData/>
  </xdr:twoCellAnchor>
  <xdr:twoCellAnchor editAs="oneCell">
    <xdr:from>
      <xdr:col>10</xdr:col>
      <xdr:colOff>111240</xdr:colOff>
      <xdr:row>1</xdr:row>
      <xdr:rowOff>128880</xdr:rowOff>
    </xdr:from>
    <xdr:to>
      <xdr:col>34</xdr:col>
      <xdr:colOff>142920</xdr:colOff>
      <xdr:row>49</xdr:row>
      <xdr:rowOff>47880</xdr:rowOff>
    </xdr:to>
    <xdr:graphicFrame>
      <xdr:nvGraphicFramePr>
        <xdr:cNvPr id="29" name=""/>
        <xdr:cNvGraphicFramePr/>
      </xdr:nvGraphicFramePr>
      <xdr:xfrm>
        <a:off x="12731760" y="303840"/>
        <a:ext cx="15138360" cy="885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284400</xdr:colOff>
      <xdr:row>9</xdr:row>
      <xdr:rowOff>10800</xdr:rowOff>
    </xdr:from>
    <xdr:to>
      <xdr:col>11</xdr:col>
      <xdr:colOff>48600</xdr:colOff>
      <xdr:row>23</xdr:row>
      <xdr:rowOff>103320</xdr:rowOff>
    </xdr:to>
    <xdr:sp>
      <xdr:nvSpPr>
        <xdr:cNvPr id="30" name="TextShape 1"/>
        <xdr:cNvSpPr txBox="1"/>
      </xdr:nvSpPr>
      <xdr:spPr>
        <a:xfrm>
          <a:off x="12904920" y="1603080"/>
          <a:ext cx="354600" cy="274644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txBody>
        <a:bodyPr lIns="0" rIns="0" tIns="0" bIns="0">
          <a:spAutoFit/>
        </a:bodyPr>
        <a:p>
          <a:r>
            <a:rPr b="0" lang="pt-BR" sz="1200" spc="-1" strike="noStrike">
              <a:latin typeface="Times New Roman"/>
            </a:rPr>
            <a:t>RP PROCESSADOS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68760</xdr:colOff>
      <xdr:row>6</xdr:row>
      <xdr:rowOff>25200</xdr:rowOff>
    </xdr:from>
    <xdr:to>
      <xdr:col>11</xdr:col>
      <xdr:colOff>227880</xdr:colOff>
      <xdr:row>25</xdr:row>
      <xdr:rowOff>134280</xdr:rowOff>
    </xdr:to>
    <xdr:sp>
      <xdr:nvSpPr>
        <xdr:cNvPr id="31" name="CustomShape 1"/>
        <xdr:cNvSpPr/>
      </xdr:nvSpPr>
      <xdr:spPr>
        <a:xfrm>
          <a:off x="13279680" y="1076760"/>
          <a:ext cx="159120" cy="3684600"/>
        </a:xfrm>
        <a:custGeom>
          <a:avLst/>
          <a:gdLst/>
          <a:ahLst/>
          <a:rect l="l" t="t" r="r" b="b"/>
          <a:pathLst>
            <a:path w="43200" h="499092">
              <a:moveTo>
                <a:pt x="21600" y="499092"/>
              </a:moveTo>
              <a:lnTo>
                <a:pt x="0" y="1800"/>
              </a:lnTo>
              <a:close/>
              <a:moveTo>
                <a:pt x="21600" y="499092"/>
              </a:moveTo>
              <a:lnTo>
                <a:pt x="0" y="180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310320</xdr:colOff>
      <xdr:row>29</xdr:row>
      <xdr:rowOff>21240</xdr:rowOff>
    </xdr:from>
    <xdr:to>
      <xdr:col>10</xdr:col>
      <xdr:colOff>500040</xdr:colOff>
      <xdr:row>43</xdr:row>
      <xdr:rowOff>71640</xdr:rowOff>
    </xdr:to>
    <xdr:sp>
      <xdr:nvSpPr>
        <xdr:cNvPr id="32" name="TextShape 1"/>
        <xdr:cNvSpPr txBox="1"/>
      </xdr:nvSpPr>
      <xdr:spPr>
        <a:xfrm>
          <a:off x="12930840" y="5379840"/>
          <a:ext cx="189720" cy="274968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txBody>
        <a:bodyPr lIns="0" rIns="0" tIns="0" bIns="0">
          <a:spAutoFit/>
        </a:bodyPr>
        <a:p>
          <a:r>
            <a:rPr b="0" lang="pt-BR" sz="1200" spc="-1" strike="noStrike">
              <a:latin typeface="Times New Roman"/>
            </a:rPr>
            <a:t>RP NÃO-PROCESSADOS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55080</xdr:colOff>
      <xdr:row>27</xdr:row>
      <xdr:rowOff>52200</xdr:rowOff>
    </xdr:from>
    <xdr:to>
      <xdr:col>11</xdr:col>
      <xdr:colOff>171720</xdr:colOff>
      <xdr:row>47</xdr:row>
      <xdr:rowOff>7920</xdr:rowOff>
    </xdr:to>
    <xdr:sp>
      <xdr:nvSpPr>
        <xdr:cNvPr id="33" name="CustomShape 1"/>
        <xdr:cNvSpPr/>
      </xdr:nvSpPr>
      <xdr:spPr>
        <a:xfrm>
          <a:off x="13266000" y="5060160"/>
          <a:ext cx="116640" cy="3706920"/>
        </a:xfrm>
        <a:custGeom>
          <a:avLst/>
          <a:gdLst/>
          <a:ahLst/>
          <a:rect l="l" t="t" r="r" b="b"/>
          <a:pathLst>
            <a:path w="43200" h="684421">
              <a:moveTo>
                <a:pt x="21600" y="684421"/>
              </a:moveTo>
              <a:lnTo>
                <a:pt x="0" y="1800"/>
              </a:lnTo>
              <a:close/>
              <a:moveTo>
                <a:pt x="21600" y="684421"/>
              </a:moveTo>
              <a:lnTo>
                <a:pt x="0" y="180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17</xdr:col>
      <xdr:colOff>120960</xdr:colOff>
      <xdr:row>7</xdr:row>
      <xdr:rowOff>25560</xdr:rowOff>
    </xdr:from>
    <xdr:to>
      <xdr:col>32</xdr:col>
      <xdr:colOff>94320</xdr:colOff>
      <xdr:row>14</xdr:row>
      <xdr:rowOff>81720</xdr:rowOff>
    </xdr:to>
    <xdr:sp>
      <xdr:nvSpPr>
        <xdr:cNvPr id="34" name="TextShape 1"/>
        <xdr:cNvSpPr txBox="1"/>
      </xdr:nvSpPr>
      <xdr:spPr>
        <a:xfrm>
          <a:off x="17808840" y="1267560"/>
          <a:ext cx="8831520" cy="128304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txBody>
        <a:bodyPr lIns="0" rIns="0" tIns="0" bIns="0">
          <a:spAutoFit/>
        </a:bodyPr>
        <a:p>
          <a:r>
            <a:rPr b="0" lang="pt-BR" sz="1200" spc="-1" strike="noStrike">
              <a:latin typeface="Times New Roman"/>
            </a:rPr>
            <a:t>Total dos Restos a Pagar Processados inscritos no encerramento do exercício de 2020</a:t>
          </a:r>
          <a:endParaRPr b="0" lang="pt-BR" sz="1200" spc="-1" strike="noStrike">
            <a:latin typeface="Times New Roman"/>
          </a:endParaRPr>
        </a:p>
        <a:p>
          <a:r>
            <a:rPr b="0" lang="pt-BR" sz="1200" spc="-1" strike="noStrike">
              <a:latin typeface="Times New Roman"/>
            </a:rPr>
            <a:t>R$ 73.991 milhões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16</xdr:col>
      <xdr:colOff>435240</xdr:colOff>
      <xdr:row>27</xdr:row>
      <xdr:rowOff>37080</xdr:rowOff>
    </xdr:from>
    <xdr:to>
      <xdr:col>32</xdr:col>
      <xdr:colOff>295200</xdr:colOff>
      <xdr:row>31</xdr:row>
      <xdr:rowOff>70200</xdr:rowOff>
    </xdr:to>
    <xdr:sp>
      <xdr:nvSpPr>
        <xdr:cNvPr id="35" name="TextShape 1"/>
        <xdr:cNvSpPr txBox="1"/>
      </xdr:nvSpPr>
      <xdr:spPr>
        <a:xfrm>
          <a:off x="17532360" y="5045040"/>
          <a:ext cx="9308880" cy="734400"/>
        </a:xfrm>
        <a:prstGeom prst="rect">
          <a:avLst/>
        </a:prstGeom>
        <a:solidFill>
          <a:srgbClr val="729fcf"/>
        </a:solidFill>
        <a:ln>
          <a:solidFill>
            <a:srgbClr val="3465a4"/>
          </a:solidFill>
        </a:ln>
      </xdr:spPr>
      <xdr:txBody>
        <a:bodyPr lIns="0" rIns="0" tIns="0" bIns="0">
          <a:spAutoFit/>
        </a:bodyPr>
        <a:p>
          <a:r>
            <a:rPr b="0" lang="pt-BR" sz="1200" spc="-1" strike="noStrike">
              <a:latin typeface="Times New Roman"/>
            </a:rPr>
            <a:t>Total dos Restos a Pagar não-Processados inscritos no encerramento do exercício de 2020 </a:t>
          </a:r>
          <a:br/>
          <a:r>
            <a:rPr b="0" lang="pt-BR" sz="1200" spc="-1" strike="noStrike">
              <a:latin typeface="Times New Roman"/>
            </a:rPr>
            <a:t>R$ 153.720 milhões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436320</xdr:colOff>
      <xdr:row>50</xdr:row>
      <xdr:rowOff>69120</xdr:rowOff>
    </xdr:from>
    <xdr:to>
      <xdr:col>11</xdr:col>
      <xdr:colOff>1000080</xdr:colOff>
      <xdr:row>75</xdr:row>
      <xdr:rowOff>24120</xdr:rowOff>
    </xdr:to>
    <xdr:graphicFrame>
      <xdr:nvGraphicFramePr>
        <xdr:cNvPr id="36" name="Gráfico 2"/>
        <xdr:cNvGraphicFramePr/>
      </xdr:nvGraphicFramePr>
      <xdr:xfrm>
        <a:off x="4103280" y="9353880"/>
        <a:ext cx="10107720" cy="433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651600</xdr:colOff>
      <xdr:row>76</xdr:row>
      <xdr:rowOff>141480</xdr:rowOff>
    </xdr:from>
    <xdr:to>
      <xdr:col>11</xdr:col>
      <xdr:colOff>942840</xdr:colOff>
      <xdr:row>102</xdr:row>
      <xdr:rowOff>100800</xdr:rowOff>
    </xdr:to>
    <xdr:graphicFrame>
      <xdr:nvGraphicFramePr>
        <xdr:cNvPr id="37" name="Gráfico 4"/>
        <xdr:cNvGraphicFramePr/>
      </xdr:nvGraphicFramePr>
      <xdr:xfrm>
        <a:off x="4318560" y="13983120"/>
        <a:ext cx="9835200" cy="45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11520</xdr:colOff>
      <xdr:row>40</xdr:row>
      <xdr:rowOff>27720</xdr:rowOff>
    </xdr:from>
    <xdr:to>
      <xdr:col>2</xdr:col>
      <xdr:colOff>154440</xdr:colOff>
      <xdr:row>40</xdr:row>
      <xdr:rowOff>170640</xdr:rowOff>
    </xdr:to>
    <xdr:clientData/>
  </xdr:twoCellAnchor>
  <xdr:twoCellAnchor editAs="oneCell">
    <xdr:from>
      <xdr:col>2</xdr:col>
      <xdr:colOff>12600</xdr:colOff>
      <xdr:row>39</xdr:row>
      <xdr:rowOff>360</xdr:rowOff>
    </xdr:from>
    <xdr:to>
      <xdr:col>2</xdr:col>
      <xdr:colOff>156600</xdr:colOff>
      <xdr:row>39</xdr:row>
      <xdr:rowOff>144360</xdr:rowOff>
    </xdr:to>
    <xdr:clientData/>
  </xdr:twoCellAnchor>
  <xdr:twoCellAnchor editAs="oneCell">
    <xdr:from>
      <xdr:col>2</xdr:col>
      <xdr:colOff>12600</xdr:colOff>
      <xdr:row>37</xdr:row>
      <xdr:rowOff>146520</xdr:rowOff>
    </xdr:from>
    <xdr:to>
      <xdr:col>2</xdr:col>
      <xdr:colOff>156600</xdr:colOff>
      <xdr:row>38</xdr:row>
      <xdr:rowOff>115200</xdr:rowOff>
    </xdr:to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966240</xdr:colOff>
      <xdr:row>19</xdr:row>
      <xdr:rowOff>62280</xdr:rowOff>
    </xdr:from>
    <xdr:to>
      <xdr:col>5</xdr:col>
      <xdr:colOff>571680</xdr:colOff>
      <xdr:row>39</xdr:row>
      <xdr:rowOff>181440</xdr:rowOff>
    </xdr:to>
    <xdr:graphicFrame>
      <xdr:nvGraphicFramePr>
        <xdr:cNvPr id="38" name="Gráfico 1"/>
        <xdr:cNvGraphicFramePr/>
      </xdr:nvGraphicFramePr>
      <xdr:xfrm>
        <a:off x="966240" y="4005360"/>
        <a:ext cx="10378080" cy="392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551160</xdr:colOff>
      <xdr:row>33</xdr:row>
      <xdr:rowOff>124560</xdr:rowOff>
    </xdr:from>
    <xdr:to>
      <xdr:col>16</xdr:col>
      <xdr:colOff>133920</xdr:colOff>
      <xdr:row>62</xdr:row>
      <xdr:rowOff>26640</xdr:rowOff>
    </xdr:to>
    <xdr:graphicFrame>
      <xdr:nvGraphicFramePr>
        <xdr:cNvPr id="39" name="Gráfico 1"/>
        <xdr:cNvGraphicFramePr/>
      </xdr:nvGraphicFramePr>
      <xdr:xfrm>
        <a:off x="7170840" y="5817240"/>
        <a:ext cx="9879480" cy="475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952560</xdr:colOff>
      <xdr:row>19</xdr:row>
      <xdr:rowOff>160200</xdr:rowOff>
    </xdr:from>
    <xdr:to>
      <xdr:col>6</xdr:col>
      <xdr:colOff>123840</xdr:colOff>
      <xdr:row>53</xdr:row>
      <xdr:rowOff>19440</xdr:rowOff>
    </xdr:to>
    <xdr:graphicFrame>
      <xdr:nvGraphicFramePr>
        <xdr:cNvPr id="40" name="Gráfico 1"/>
        <xdr:cNvGraphicFramePr/>
      </xdr:nvGraphicFramePr>
      <xdr:xfrm>
        <a:off x="952560" y="3758040"/>
        <a:ext cx="14697000" cy="53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0.xml.rels><?xml version="1.0" encoding="UTF-8"?>
<Relationships xmlns="http://schemas.openxmlformats.org/package/2006/relationships"><Relationship Id="rId1" Type="http://schemas.openxmlformats.org/officeDocument/2006/relationships/externalLinkPath" Target="https://tesouro.sharepoint.com/personal/rubem_ziegler_tesouro_gov_br/Documents/Backups/2020/RREO/12%20-%20Dezembro/Anexo%209%20Rec%20Op%20Credito%20e%20Desp%20Capital.xlsx" TargetMode="External"/>
</Relationships>
</file>

<file path=xl/externalLinks/_rels/externalLink11.xml.rels><?xml version="1.0" encoding="UTF-8"?>
<Relationships xmlns="http://schemas.openxmlformats.org/package/2006/relationships"><Relationship Id="rId1" Type="http://schemas.openxmlformats.org/officeDocument/2006/relationships/externalLinkPath" Target="https://tesouro.sharepoint.com/Users/rubem.ziegler/Downloads/S&#237;ntese%20do%20RREO%20newVer%20dez-2019.xlsm" TargetMode="External"/>
</Relationships>
</file>

<file path=xl/externalLinks/_rels/externalLink12.xml.rels><?xml version="1.0" encoding="UTF-8"?>
<Relationships xmlns="http://schemas.openxmlformats.org/package/2006/relationships"><Relationship Id="rId1" Type="http://schemas.openxmlformats.org/officeDocument/2006/relationships/externalLinkPath" Target="https://tesouro.sharepoint.com/sites/GEINF/Documentos%20Compartilhados/General/Teste/Anexo%208%20Educac&#807;a&#771;o%20(todas%20as%20fontes).xlsm" TargetMode="External"/>
</Relationships>
</file>

<file path=xl/externalLinks/_rels/externalLink13.xml.rels><?xml version="1.0" encoding="UTF-8"?>
<Relationships xmlns="http://schemas.openxmlformats.org/package/2006/relationships"><Relationship Id="rId1" Type="http://schemas.openxmlformats.org/officeDocument/2006/relationships/externalLinkPath" Target="https://tesouro.sharepoint.com/sites/GEINF/Documentos%20Compartilhados/General/Teste/Anexo%2012%20Sa&#250;de.xlsm" TargetMode="External"/>
</Relationships>
</file>

<file path=xl/externalLinks/_rels/externalLink15.xml.rels><?xml version="1.0" encoding="UTF-8"?>
<Relationships xmlns="http://schemas.openxmlformats.org/package/2006/relationships"><Relationship Id="rId1" Type="http://schemas.openxmlformats.org/officeDocument/2006/relationships/externalLinkPath" Target="https://tesouro.sharepoint.com/sites/GEINF/Documentos%20Compartilhados/General/Teste/Anexo%202%20Fun&#231;&#227;o.xlsm" TargetMode="External"/>
</Relationships>
</file>

<file path=xl/externalLinks/_rels/externalLink16.xml.rels><?xml version="1.0" encoding="UTF-8"?>
<Relationships xmlns="http://schemas.openxmlformats.org/package/2006/relationships"><Relationship Id="rId1" Type="http://schemas.openxmlformats.org/officeDocument/2006/relationships/externalLinkPath" Target="https://tesouro.sharepoint.com/personal/henrique_a_santos_tesouro_gov_br/Documents/GEINF/OneDrive%20-%20Secretaria%20do%20Tesouro%20Nacional/GEINF/Trabalho/Relatorio%20Resumido/Trabalho/Anexo%206%20-%20Resultados%20Prima&#769;rio%20e%20Nominal.xlsm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https://tesouro.sharepoint.com/sites/GEINF/Documentos%20Compartilhados/General/Teste/Anexo%203%20RCL.xlsm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https://tesouro.sharepoint.com/sites/GEINF/Documentos%20Compartilhados/General/Teste/Tabela%204%20-%20Disponibilidades.xlsm" TargetMode="External"/>
</Relationships>
</file>

<file path=xl/externalLinks/_rels/externalLink8.xml.rels><?xml version="1.0" encoding="UTF-8"?>
<Relationships xmlns="http://schemas.openxmlformats.org/package/2006/relationships"><Relationship Id="rId1" Type="http://schemas.openxmlformats.org/officeDocument/2006/relationships/externalLinkPath" Target="https://tesouro.sharepoint.com/sites/GEINF/Documentos%20Compartilhados/General/Teste/Tabela%201%20Seguridade.xlsm" TargetMode="External"/>
</Relationships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Anexo_9_Detalhado_Melhor"/>
      <sheetName val="Anexo_9"/>
      <sheetName val="Créditos_Suplementares"/>
      <sheetName val="Variação_Saldo_Sub_Conta_Dívida"/>
      <sheetName val="Desp__Capital_por_GND"/>
      <sheetName val="SICONFI_-_Regra_de_Our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ICONFI"/>
      <sheetName val="Portaria"/>
      <sheetName val="Metodologia"/>
      <sheetName val="Memória_de_Cálculo"/>
      <sheetName val="Elaboracao"/>
      <sheetName val="Anexo_3"/>
      <sheetName val="VERIFICAÇÃO_TRANSFERÊNCIAS"/>
      <sheetName val="RCL_PBI"/>
      <sheetName val="Fonte_de_Informação_1"/>
      <sheetName val="Fonte_de_Informação_2"/>
      <sheetName val="Consulta_Transferênc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abela_4"/>
      <sheetName val="Tabela_4_Executivo"/>
      <sheetName val="Elaboração"/>
      <sheetName val="Fonte_de_Informações_I"/>
      <sheetName val="Fonte_de_Informações_II"/>
      <sheetName val="Tabela_4_Linhas"/>
      <sheetName val="Tabela_4_Colunas"/>
      <sheetName val="DISP__CAIXA_PBI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abela_1"/>
      <sheetName val="Tabela_1-A"/>
      <sheetName val="Tabela_1-B"/>
      <sheetName val="TABELA_SEGURIDADE_PBI"/>
      <sheetName val="Tab_Dinâmica"/>
      <sheetName val="Elaboração"/>
      <sheetName val="Rec_Desp_Tab_1_-_Até_o_Mês"/>
      <sheetName val="Rec_Desp_Tab_1_-_No_Mês"/>
      <sheetName val="Rec_Desp_Tab_1-A"/>
      <sheetName val="Tab_1-A_Previsão_Fonte_00"/>
      <sheetName val="Tab_1-B"/>
      <sheetName val="Memoria_de_Calculo"/>
      <sheetName val="Criterio_Rec"/>
      <sheetName val="Criterio_Rec_Bim"/>
      <sheetName val="Criterio_Desp"/>
      <sheetName val="Criterio_Desp_Bim"/>
      <sheetName val="Criterio_4-A_Rec_Realizada"/>
      <sheetName val="Criterio_4-A_Prev_Atual_Rec"/>
      <sheetName val="Tabela_1_Seguridade"/>
    </sheetNames>
    <sheetDataSet>
      <sheetData sheetId="0"/>
      <sheetData sheetId="1"/>
      <sheetData sheetId="2"/>
      <sheetData sheetId="3"/>
      <sheetData sheetId="4">
        <row r="2">
          <cell r="A2" t="str">
            <v>Data</v>
          </cell>
          <cell r="B2" t="str">
            <v>ago</v>
          </cell>
        </row>
        <row r="4">
          <cell r="A4" t="str">
            <v>Soma de Valor (R$ bilhões)</v>
          </cell>
          <cell r="B4" t="str">
            <v>Rótulos de Coluna</v>
          </cell>
        </row>
        <row r="5">
          <cell r="A5" t="str">
            <v>Rótulos de Linha</v>
          </cell>
          <cell r="B5" t="str">
            <v>2008</v>
          </cell>
          <cell r="C5" t="str">
            <v>2009</v>
          </cell>
          <cell r="D5" t="str">
            <v>2010</v>
          </cell>
          <cell r="E5" t="str">
            <v>2011</v>
          </cell>
          <cell r="F5" t="str">
            <v>2012</v>
          </cell>
          <cell r="G5" t="str">
            <v>2013</v>
          </cell>
          <cell r="H5" t="str">
            <v>2014</v>
          </cell>
          <cell r="I5" t="str">
            <v>2015</v>
          </cell>
          <cell r="J5" t="str">
            <v>2016</v>
          </cell>
          <cell r="K5" t="str">
            <v>2017</v>
          </cell>
          <cell r="L5" t="str">
            <v>2018</v>
          </cell>
          <cell r="M5" t="str">
            <v>2019</v>
          </cell>
          <cell r="N5" t="str">
            <v>2020</v>
          </cell>
          <cell r="O5" t="str">
            <v>Total Geral</v>
          </cell>
        </row>
        <row r="6">
          <cell r="A6" t="str">
            <v>Demais (COFINS, CSLL e Outras)</v>
          </cell>
          <cell r="B6">
            <v>101.27622346743</v>
          </cell>
          <cell r="C6">
            <v>95.7891585905</v>
          </cell>
          <cell r="D6">
            <v>112.85947135811</v>
          </cell>
          <cell r="E6">
            <v>137.42237789733</v>
          </cell>
          <cell r="F6">
            <v>153.74062152749</v>
          </cell>
          <cell r="G6">
            <v>162.31444112413</v>
          </cell>
          <cell r="H6">
            <v>172.70150858413</v>
          </cell>
          <cell r="I6">
            <v>179.28705703158</v>
          </cell>
          <cell r="J6">
            <v>235.04270716465</v>
          </cell>
          <cell r="K6">
            <v>167.01786524569</v>
          </cell>
          <cell r="L6">
            <v>190.61154989861</v>
          </cell>
          <cell r="M6">
            <v>195.24512648643</v>
          </cell>
          <cell r="N6">
            <v>221.98030501724</v>
          </cell>
          <cell r="O6">
            <v>2125.28841339332</v>
          </cell>
        </row>
        <row r="7">
          <cell r="A7" t="str">
            <v>Demais Despesas</v>
          </cell>
          <cell r="B7">
            <v>5.5163269961388</v>
          </cell>
          <cell r="C7">
            <v>7.74170175699011</v>
          </cell>
          <cell r="D7">
            <v>9.62592397334143</v>
          </cell>
          <cell r="E7">
            <v>10.812576547745</v>
          </cell>
          <cell r="F7">
            <v>12.0139620166363</v>
          </cell>
          <cell r="G7">
            <v>14.0406255408127</v>
          </cell>
          <cell r="H7">
            <v>15.4701701081119</v>
          </cell>
          <cell r="I7">
            <v>16.690064868777</v>
          </cell>
          <cell r="J7">
            <v>17.5466710249241</v>
          </cell>
          <cell r="K7">
            <v>20.6410122456098</v>
          </cell>
          <cell r="L7">
            <v>22.068293687104</v>
          </cell>
          <cell r="M7">
            <v>21.7028496382618</v>
          </cell>
          <cell r="N7">
            <v>22.5156766782737</v>
          </cell>
          <cell r="O7">
            <v>196.385855082727</v>
          </cell>
        </row>
        <row r="8">
          <cell r="A8" t="str">
            <v>Despesas com Abono Salarial</v>
          </cell>
          <cell r="B8">
            <v>3.70916163938</v>
          </cell>
          <cell r="C8">
            <v>4.45914066236</v>
          </cell>
          <cell r="D8">
            <v>5.43371070924</v>
          </cell>
          <cell r="E8">
            <v>6.42353967933</v>
          </cell>
          <cell r="F8">
            <v>7.91560034514</v>
          </cell>
          <cell r="G8">
            <v>7.73507504418</v>
          </cell>
          <cell r="H8">
            <v>6.846292344</v>
          </cell>
          <cell r="I8">
            <v>3.74919768633</v>
          </cell>
          <cell r="J8">
            <v>12.62071399676</v>
          </cell>
          <cell r="K8">
            <v>10.58899880469</v>
          </cell>
          <cell r="L8">
            <v>11.70885859451</v>
          </cell>
          <cell r="M8">
            <v>11.48171318126</v>
          </cell>
          <cell r="N8">
            <v>15.6286390259</v>
          </cell>
          <cell r="O8">
            <v>108.30064171308</v>
          </cell>
        </row>
        <row r="9">
          <cell r="A9" t="str">
            <v>Despesas com Assistência Social</v>
          </cell>
          <cell r="B9">
            <v>18.47918750719</v>
          </cell>
          <cell r="C9">
            <v>21.3059136359247</v>
          </cell>
          <cell r="D9">
            <v>26.0885001360926</v>
          </cell>
          <cell r="E9">
            <v>29.53236526654</v>
          </cell>
          <cell r="F9">
            <v>35.5714449992091</v>
          </cell>
          <cell r="G9">
            <v>40.2621876159687</v>
          </cell>
          <cell r="H9">
            <v>44.17988162157</v>
          </cell>
          <cell r="I9">
            <v>47.07291832078</v>
          </cell>
          <cell r="J9">
            <v>51.23833701293</v>
          </cell>
          <cell r="K9">
            <v>55.1214922468196</v>
          </cell>
          <cell r="L9">
            <v>57.95229502149</v>
          </cell>
          <cell r="M9">
            <v>60.8100997343522</v>
          </cell>
          <cell r="N9">
            <v>288.23892663182</v>
          </cell>
          <cell r="O9">
            <v>775.853549750687</v>
          </cell>
        </row>
        <row r="10">
          <cell r="A10" t="str">
            <v>Despesas com Saúde</v>
          </cell>
          <cell r="B10">
            <v>25.6693832520162</v>
          </cell>
          <cell r="C10">
            <v>31.1434423614482</v>
          </cell>
          <cell r="D10">
            <v>35.23881963642</v>
          </cell>
          <cell r="E10">
            <v>38.75230682825</v>
          </cell>
          <cell r="F10">
            <v>41.4153331727316</v>
          </cell>
          <cell r="G10">
            <v>46.3484808303946</v>
          </cell>
          <cell r="H10">
            <v>56.7395761872201</v>
          </cell>
          <cell r="I10">
            <v>61.668613030537</v>
          </cell>
          <cell r="J10">
            <v>62.1554829787569</v>
          </cell>
          <cell r="K10">
            <v>65.4325044399106</v>
          </cell>
          <cell r="L10">
            <v>66.88975566959</v>
          </cell>
          <cell r="M10">
            <v>68.39831814705</v>
          </cell>
          <cell r="N10">
            <v>99.1316399669724</v>
          </cell>
          <cell r="O10">
            <v>698.983656501298</v>
          </cell>
        </row>
        <row r="11">
          <cell r="A11" t="str">
            <v>Despesas com Seguro Desemprego</v>
          </cell>
          <cell r="B11">
            <v>9.60945530459</v>
          </cell>
          <cell r="C11">
            <v>13.37770258869</v>
          </cell>
          <cell r="D11">
            <v>13.54292037631</v>
          </cell>
          <cell r="E11">
            <v>16.22432288945</v>
          </cell>
          <cell r="F11">
            <v>18.43596475274</v>
          </cell>
          <cell r="G11">
            <v>20.48394898035</v>
          </cell>
          <cell r="H11">
            <v>22.80722980408</v>
          </cell>
          <cell r="I11">
            <v>25.93602093121</v>
          </cell>
          <cell r="J11">
            <v>25.10709546255</v>
          </cell>
          <cell r="K11">
            <v>25.3115614962</v>
          </cell>
          <cell r="L11">
            <v>24.39904640518</v>
          </cell>
          <cell r="M11">
            <v>24.87499430677</v>
          </cell>
          <cell r="N11">
            <v>27.5342331208</v>
          </cell>
          <cell r="O11">
            <v>267.64449641892</v>
          </cell>
        </row>
        <row r="12">
          <cell r="A12" t="str">
            <v>Despesas de Pensionistas Militares</v>
          </cell>
          <cell r="B12">
            <v>12.80663655034</v>
          </cell>
          <cell r="C12">
            <v>13.53865089445</v>
          </cell>
          <cell r="D12">
            <v>13.64077704568</v>
          </cell>
          <cell r="E12">
            <v>14.43173875688</v>
          </cell>
          <cell r="F12">
            <v>15.23703074701</v>
          </cell>
          <cell r="G12">
            <v>16.10911256608</v>
          </cell>
          <cell r="H12">
            <v>20.62471759488</v>
          </cell>
          <cell r="I12">
            <v>22.74671293002</v>
          </cell>
          <cell r="J12">
            <v>11.0973193328</v>
          </cell>
          <cell r="K12">
            <v>12.49440629825</v>
          </cell>
          <cell r="L12">
            <v>13.95013785749</v>
          </cell>
          <cell r="M12">
            <v>14.93545612177</v>
          </cell>
          <cell r="N12">
            <v>15.13884166848</v>
          </cell>
          <cell r="O12">
            <v>196.75153836413</v>
          </cell>
        </row>
        <row r="13">
          <cell r="A13" t="str">
            <v>Despesas do RGPS</v>
          </cell>
          <cell r="B13">
            <v>130.05342860021</v>
          </cell>
          <cell r="C13">
            <v>136.76335345144</v>
          </cell>
          <cell r="D13">
            <v>168.21983424944</v>
          </cell>
          <cell r="E13">
            <v>186.83417336372</v>
          </cell>
          <cell r="F13">
            <v>212.15675049514</v>
          </cell>
          <cell r="G13">
            <v>240.94881687248</v>
          </cell>
          <cell r="H13">
            <v>262.03826655018</v>
          </cell>
          <cell r="I13">
            <v>270.26460810194</v>
          </cell>
          <cell r="J13">
            <v>331.89690948112</v>
          </cell>
          <cell r="K13">
            <v>368.17109209334</v>
          </cell>
          <cell r="L13">
            <v>386.26126333509</v>
          </cell>
          <cell r="M13">
            <v>412.43694570068</v>
          </cell>
          <cell r="N13">
            <v>461.67040013405</v>
          </cell>
          <cell r="O13">
            <v>3567.71584242883</v>
          </cell>
        </row>
        <row r="14">
          <cell r="A14" t="str">
            <v>Despesas do RPPS - Civil (exceto FCDF)</v>
          </cell>
          <cell r="B14">
            <v>23.70465149003</v>
          </cell>
          <cell r="C14">
            <v>28.8667224171</v>
          </cell>
          <cell r="D14">
            <v>33.24342370401</v>
          </cell>
          <cell r="E14">
            <v>36.75014835018</v>
          </cell>
          <cell r="F14">
            <v>38.38995271382</v>
          </cell>
          <cell r="G14">
            <v>41.62637420815</v>
          </cell>
          <cell r="H14">
            <v>41.45663576248</v>
          </cell>
          <cell r="I14">
            <v>44.88517058613</v>
          </cell>
          <cell r="J14">
            <v>46.96383525726</v>
          </cell>
          <cell r="K14">
            <v>53.43728872175</v>
          </cell>
          <cell r="L14">
            <v>51.95066115132</v>
          </cell>
          <cell r="M14">
            <v>55.70616924019</v>
          </cell>
          <cell r="N14">
            <v>57.48538994488</v>
          </cell>
          <cell r="O14">
            <v>554.4664235473</v>
          </cell>
        </row>
        <row r="15">
          <cell r="A15" t="str">
            <v>Despesas do RPPS - Civil (FCDF)</v>
          </cell>
        </row>
        <row r="15">
          <cell r="L15">
            <v>3.28793075362</v>
          </cell>
          <cell r="M15">
            <v>3.1548581085</v>
          </cell>
          <cell r="N15">
            <v>4.2789819961</v>
          </cell>
          <cell r="O15">
            <v>10.72177085822</v>
          </cell>
        </row>
        <row r="16">
          <cell r="A16" t="str">
            <v>DRU</v>
          </cell>
        </row>
        <row r="16">
          <cell r="E16">
            <v>34.37509068353</v>
          </cell>
          <cell r="F16">
            <v>36.92608987477</v>
          </cell>
          <cell r="G16">
            <v>37.95967200618</v>
          </cell>
          <cell r="H16">
            <v>39.51057517453</v>
          </cell>
          <cell r="I16">
            <v>40.80335905276</v>
          </cell>
        </row>
        <row r="16">
          <cell r="K16">
            <v>62.80044571397</v>
          </cell>
          <cell r="L16">
            <v>72.91546773176</v>
          </cell>
          <cell r="M16">
            <v>74.14111390539</v>
          </cell>
          <cell r="N16">
            <v>0.12971096119</v>
          </cell>
          <cell r="O16">
            <v>399.56152510408</v>
          </cell>
        </row>
        <row r="17">
          <cell r="A17" t="str">
            <v>Receitas de Pensões Militares (FCDF)</v>
          </cell>
        </row>
        <row r="17">
          <cell r="L17">
            <v>0.11274597096</v>
          </cell>
          <cell r="M17">
            <v>0.17571115919</v>
          </cell>
          <cell r="N17">
            <v>0.33939033682</v>
          </cell>
          <cell r="O17">
            <v>0.62784746697</v>
          </cell>
        </row>
        <row r="18">
          <cell r="A18" t="str">
            <v>Receitas de Pensões Militares (FFAA)</v>
          </cell>
          <cell r="B18">
            <v>0.98463698804</v>
          </cell>
          <cell r="C18">
            <v>1.12766539994</v>
          </cell>
          <cell r="D18">
            <v>1.21410682585</v>
          </cell>
          <cell r="E18">
            <v>1.32117701163</v>
          </cell>
          <cell r="F18">
            <v>1.33385623029</v>
          </cell>
          <cell r="G18">
            <v>1.38894713753</v>
          </cell>
          <cell r="H18">
            <v>1.53059023306</v>
          </cell>
          <cell r="I18">
            <v>1.75263411522</v>
          </cell>
          <cell r="J18">
            <v>1.82840608677</v>
          </cell>
          <cell r="K18">
            <v>2.16128329363</v>
          </cell>
          <cell r="L18">
            <v>1.52376701099</v>
          </cell>
          <cell r="M18">
            <v>1.62871979877</v>
          </cell>
          <cell r="N18">
            <v>4.00077038915</v>
          </cell>
          <cell r="O18">
            <v>21.79656052087</v>
          </cell>
        </row>
        <row r="19">
          <cell r="A19" t="str">
            <v>Receitas do RGPS</v>
          </cell>
          <cell r="B19">
            <v>100.01894394413</v>
          </cell>
          <cell r="C19">
            <v>112.09584109579</v>
          </cell>
          <cell r="D19">
            <v>130.84040701897</v>
          </cell>
          <cell r="E19">
            <v>150.38893131793</v>
          </cell>
          <cell r="F19">
            <v>173.20358178025</v>
          </cell>
          <cell r="G19">
            <v>191.75286313486</v>
          </cell>
          <cell r="H19">
            <v>212.0594521338</v>
          </cell>
          <cell r="I19">
            <v>224.98897761759</v>
          </cell>
          <cell r="J19">
            <v>230.63441330277</v>
          </cell>
          <cell r="K19">
            <v>240.47514356457</v>
          </cell>
          <cell r="L19">
            <v>247.82124189416</v>
          </cell>
          <cell r="M19">
            <v>262.99381800053</v>
          </cell>
          <cell r="N19">
            <v>235.88257149539</v>
          </cell>
          <cell r="O19">
            <v>2513.15618630074</v>
          </cell>
        </row>
        <row r="20">
          <cell r="A20" t="str">
            <v>Receitas do RPPS (exceto FCDF)</v>
          </cell>
          <cell r="B20">
            <v>9.16875394936</v>
          </cell>
          <cell r="C20">
            <v>10.97695717457</v>
          </cell>
          <cell r="D20">
            <v>12.33084292531</v>
          </cell>
          <cell r="E20">
            <v>13.77899184379</v>
          </cell>
          <cell r="F20">
            <v>14.08973776713</v>
          </cell>
          <cell r="G20">
            <v>15.21773902694</v>
          </cell>
          <cell r="H20">
            <v>16.58399302316</v>
          </cell>
          <cell r="I20">
            <v>18.11021500593</v>
          </cell>
          <cell r="J20">
            <v>18.28133361419</v>
          </cell>
          <cell r="K20">
            <v>20.81128468515</v>
          </cell>
          <cell r="L20">
            <v>20.65395555394</v>
          </cell>
          <cell r="M20">
            <v>20.73595748534</v>
          </cell>
          <cell r="N20">
            <v>23.72785834709</v>
          </cell>
          <cell r="O20">
            <v>214.4676204019</v>
          </cell>
        </row>
        <row r="21">
          <cell r="A21" t="str">
            <v>Receitas RPPS (FCDF)</v>
          </cell>
        </row>
        <row r="21">
          <cell r="L21">
            <v>0.08430334547</v>
          </cell>
        </row>
        <row r="21">
          <cell r="O21">
            <v>0.08430334547</v>
          </cell>
        </row>
        <row r="22">
          <cell r="A22" t="str">
            <v>Total Despesas da Seguridade Social</v>
          </cell>
          <cell r="B22">
            <v>229.548231339895</v>
          </cell>
          <cell r="C22">
            <v>257.196627768403</v>
          </cell>
          <cell r="D22">
            <v>305.033909830534</v>
          </cell>
          <cell r="E22">
            <v>339.761171682095</v>
          </cell>
          <cell r="F22">
            <v>381.136039242427</v>
          </cell>
          <cell r="G22">
            <v>427.554621658416</v>
          </cell>
          <cell r="H22">
            <v>470.162769972522</v>
          </cell>
          <cell r="I22">
            <v>493.013306455724</v>
          </cell>
          <cell r="J22">
            <v>558.626364547101</v>
          </cell>
          <cell r="K22">
            <v>611.19835634657</v>
          </cell>
          <cell r="L22">
            <v>638.468242475394</v>
          </cell>
          <cell r="M22">
            <v>673.501404178834</v>
          </cell>
          <cell r="N22">
            <v>991.622729167276</v>
          </cell>
          <cell r="O22">
            <v>6376.82377466519</v>
          </cell>
        </row>
        <row r="23">
          <cell r="A23" t="str">
            <v>Total Receitas da Seguridade Social</v>
          </cell>
          <cell r="B23">
            <v>211.44855834896</v>
          </cell>
          <cell r="C23">
            <v>219.9896222608</v>
          </cell>
          <cell r="D23">
            <v>257.24482812824</v>
          </cell>
          <cell r="E23">
            <v>302.91147807068</v>
          </cell>
          <cell r="F23">
            <v>342.36779730516</v>
          </cell>
          <cell r="G23">
            <v>370.67399042346</v>
          </cell>
          <cell r="H23">
            <v>402.87554397415</v>
          </cell>
          <cell r="I23">
            <v>424.13888377032</v>
          </cell>
          <cell r="J23">
            <v>485.78686016838</v>
          </cell>
          <cell r="K23">
            <v>430.46557678904</v>
          </cell>
          <cell r="L23">
            <v>460.80756367413</v>
          </cell>
          <cell r="M23">
            <v>480.77933293026</v>
          </cell>
          <cell r="N23">
            <v>485.93089558569</v>
          </cell>
          <cell r="O23">
            <v>4875.42093142927</v>
          </cell>
        </row>
        <row r="24">
          <cell r="A24" t="str">
            <v>Total Geral</v>
          </cell>
          <cell r="B24">
            <v>881.99357937771</v>
          </cell>
          <cell r="C24">
            <v>954.372500058406</v>
          </cell>
          <cell r="D24">
            <v>1124.55747591755</v>
          </cell>
          <cell r="E24">
            <v>1319.72039018908</v>
          </cell>
          <cell r="F24">
            <v>1483.93376296994</v>
          </cell>
          <cell r="G24">
            <v>1634.41689616993</v>
          </cell>
          <cell r="H24">
            <v>1785.58720306787</v>
          </cell>
          <cell r="I24">
            <v>1875.10773950485</v>
          </cell>
          <cell r="J24">
            <v>2088.82644943096</v>
          </cell>
          <cell r="K24">
            <v>2146.12831198519</v>
          </cell>
          <cell r="L24">
            <v>2271.46708003081</v>
          </cell>
          <cell r="M24">
            <v>2382.70258812358</v>
          </cell>
          <cell r="N24">
            <v>2955.23696046712</v>
          </cell>
          <cell r="O24">
            <v>22904.050937293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9" createdVersion="3">
  <cacheSource type="worksheet">
    <worksheetSource ref="A2:B31" sheet="Função"/>
  </cacheSource>
  <cacheFields count="2">
    <cacheField name="Função" numFmtId="0">
      <sharedItems count="29">
        <s v="ADMINISTRACAO"/>
        <s v="AGRICULTURA"/>
        <s v="ASSISTENCIA SOCIAL"/>
        <s v="CIENCIA E TECNOLOGIA"/>
        <s v="COMERCIO E SERVICOS"/>
        <s v="COMUNICACOES"/>
        <s v="CULTURA"/>
        <s v="DEFESA NACIONAL"/>
        <s v="DESPORTO E LAZER"/>
        <s v="DIREITOS DA CIDADANIA"/>
        <s v="EDUCACAO"/>
        <s v="ENCARGOS ESPECIAIS"/>
        <s v="ENERGIA"/>
        <s v="ESSENCIAL A JUSTICA"/>
        <s v="GESTAO AMBIENTAL"/>
        <s v="HABITACAO"/>
        <s v="INDUSTRIA"/>
        <s v="JUDICIARIA"/>
        <s v="LEGISLATIVA"/>
        <s v="ORGANIZACAO AGRARIA"/>
        <s v="PREVIDENCIA SOCIAL"/>
        <s v="RELACOES EXTERIORES"/>
        <s v="RESERVA DE CONTINGENCIA"/>
        <s v="SANEAMENTO"/>
        <s v="SAUDE"/>
        <s v="SEGURANCA PUBLICA"/>
        <s v="TRABALHO"/>
        <s v="TRANSPORTE"/>
        <s v="URBANISMO"/>
      </sharedItems>
    </cacheField>
    <cacheField name="Despesa Empenhada" numFmtId="0">
      <sharedItems containsSemiMixedTypes="0" containsString="0" containsNumber="1" minValue="0" maxValue="925.237198799695" count="29">
        <n v="0"/>
        <n v="0.009741785"/>
        <n v="0.31397480596"/>
        <n v="0.53415821566"/>
        <n v="0.65085529022"/>
        <n v="0.8287828034"/>
        <n v="1.08390365745"/>
        <n v="1.25834518676761"/>
        <n v="1.41323660703"/>
        <n v="1.66418139808521"/>
        <n v="2.7837608915599"/>
        <n v="3.09210352266096"/>
        <n v="3.34572118597695"/>
        <n v="3.40050855442795"/>
        <n v="4.10847751837"/>
        <n v="6.86015063805"/>
        <n v="7.65970307625"/>
        <n v="7.69796015189"/>
        <n v="9.72950823550983"/>
        <n v="19.7388705357986"/>
        <n v="21.3873176730822"/>
        <n v="33.69775085728"/>
        <n v="56.09705379754"/>
        <n v="64.2353508976852"/>
        <n v="93.9768598638556"/>
        <n v="141.958563532461"/>
        <n v="155.78883641475"/>
        <n v="638.20906954214"/>
        <n v="925.23719879969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18"/>
    <x v="17"/>
  </r>
  <r>
    <x v="17"/>
    <x v="21"/>
  </r>
  <r>
    <x v="13"/>
    <x v="15"/>
  </r>
  <r>
    <x v="0"/>
    <x v="20"/>
  </r>
  <r>
    <x v="7"/>
    <x v="23"/>
  </r>
  <r>
    <x v="25"/>
    <x v="18"/>
  </r>
  <r>
    <x v="21"/>
    <x v="10"/>
  </r>
  <r>
    <x v="2"/>
    <x v="26"/>
  </r>
  <r>
    <x v="20"/>
    <x v="27"/>
  </r>
  <r>
    <x v="24"/>
    <x v="25"/>
  </r>
  <r>
    <x v="26"/>
    <x v="22"/>
  </r>
  <r>
    <x v="10"/>
    <x v="24"/>
  </r>
  <r>
    <x v="6"/>
    <x v="4"/>
  </r>
  <r>
    <x v="9"/>
    <x v="5"/>
  </r>
  <r>
    <x v="28"/>
    <x v="14"/>
  </r>
  <r>
    <x v="15"/>
    <x v="1"/>
  </r>
  <r>
    <x v="23"/>
    <x v="2"/>
  </r>
  <r>
    <x v="14"/>
    <x v="11"/>
  </r>
  <r>
    <x v="3"/>
    <x v="13"/>
  </r>
  <r>
    <x v="1"/>
    <x v="19"/>
  </r>
  <r>
    <x v="19"/>
    <x v="6"/>
  </r>
  <r>
    <x v="16"/>
    <x v="8"/>
  </r>
  <r>
    <x v="4"/>
    <x v="12"/>
  </r>
  <r>
    <x v="5"/>
    <x v="9"/>
  </r>
  <r>
    <x v="12"/>
    <x v="7"/>
  </r>
  <r>
    <x v="27"/>
    <x v="16"/>
  </r>
  <r>
    <x v="8"/>
    <x v="3"/>
  </r>
  <r>
    <x v="11"/>
    <x v="28"/>
  </r>
  <r>
    <x v="22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33" firstHeaderRow="1" firstDataRow="2" firstDataCol="1"/>
  <pivotFields count="2">
    <pivotField axis="axisRow" showAll="0" compact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 compact="0"/>
  </pivotFields>
  <rowFields count="1">
    <field x="0"/>
  </rowFields>
  <dataFields count="1">
    <dataField fld="1" subtotal="sum"/>
  </dataFields>
</pivotTableDefinition>
</file>

<file path=xl/tables/table1.xml><?xml version="1.0" encoding="utf-8"?>
<table xmlns="http://schemas.openxmlformats.org/spreadsheetml/2006/main" id="1" name="_01___Balanço_Orçamentário__2008_2018" displayName="_01___Balanço_Orçamentário__2008_2018" ref="A1:G454" headerRowCount="1" totalsRowCount="0" totalsRowShown="0">
  <autoFilter ref="A1:G454"/>
  <tableColumns count="7">
    <tableColumn id="1" name="GNDDetBO"/>
    <tableColumn id="2" name="GrupoDespesaCodigo"/>
    <tableColumn id="3" name="GrupoDespesaNome"/>
    <tableColumn id="4" name="MesLancamento"/>
    <tableColumn id="5" name="ItemInformacaoCodigo"/>
    <tableColumn id="6" name="ItemInformacaoNome"/>
    <tableColumn id="7" name="Saldo"/>
  </tableColumns>
</table>
</file>

<file path=xl/tables/table10.xml><?xml version="1.0" encoding="utf-8"?>
<table xmlns="http://schemas.openxmlformats.org/spreadsheetml/2006/main" id="10" name="Tabela5" displayName="Tabela5" ref="B55:F71" headerRowCount="1" totalsRowCount="0" totalsRowShown="0">
  <autoFilter ref="B55:F71"/>
  <tableColumns count="5">
    <tableColumn id="1" name="Descrição"/>
    <tableColumn id="2" name="Nome da Coluna"/>
    <tableColumn id="3" name="Coluna a ser buscada"/>
    <tableColumn id="4" name="Ano Atual"/>
    <tableColumn id="5" name="Ano Anterior"/>
  </tableColumns>
</table>
</file>

<file path=xl/tables/table11.xml><?xml version="1.0" encoding="utf-8"?>
<table xmlns="http://schemas.openxmlformats.org/spreadsheetml/2006/main" id="11" name="tbl_Itens_de_Informação" displayName="tbl_Itens_de_Informação" ref="A1:D91" headerRowCount="1" totalsRowCount="0" totalsRowShown="0">
  <autoFilter ref="A1:D91"/>
  <tableColumns count="4">
    <tableColumn id="1" name="Item Informação Código"/>
    <tableColumn id="2" name="Item Informação Nome"/>
    <tableColumn id="3" name="Item informação"/>
    <tableColumn id="4" name="Índice Item Inf"/>
  </tableColumns>
</table>
</file>

<file path=xl/tables/table2.xml><?xml version="1.0" encoding="utf-8"?>
<table xmlns="http://schemas.openxmlformats.org/spreadsheetml/2006/main" id="2" name="_01___Balanço_Orçamentário__2018___presente" displayName="_01___Balanço_Orçamentário__2018___presente" ref="A1:G1508" headerRowCount="1" totalsRowCount="0" totalsRowShown="0">
  <autoFilter ref="A1:G1508"/>
  <tableColumns count="7">
    <tableColumn id="1" name="MesLancamento"/>
    <tableColumn id="2" name="GNDDetBO"/>
    <tableColumn id="3" name="GrupoDespesaCodigo"/>
    <tableColumn id="4" name="GrupoDespesaNome"/>
    <tableColumn id="5" name="ItemInformacaoCodigo"/>
    <tableColumn id="6" name="ItemInformacaoNome"/>
    <tableColumn id="7" name="Saldo"/>
  </tableColumns>
</table>
</file>

<file path=xl/tables/table3.xml><?xml version="1.0" encoding="utf-8"?>
<table xmlns="http://schemas.openxmlformats.org/spreadsheetml/2006/main" id="3" name="_01___Balanço_Orçamentário__2019___Atual" displayName="_01___Balanço_Orçamentário__2019___Atual" ref="A1:G944" headerRowCount="1" totalsRowCount="0" totalsRowShown="0">
  <autoFilter ref="A1:G944"/>
  <tableColumns count="7">
    <tableColumn id="1" name="GNDDetBO"/>
    <tableColumn id="2" name="GrupoDespesaCodigo"/>
    <tableColumn id="3" name="GrupoDespesaNome"/>
    <tableColumn id="4" name="MesLancamento"/>
    <tableColumn id="5" name="ItemInformacaoCodigo"/>
    <tableColumn id="6" name="ItemInformacaoNome"/>
    <tableColumn id="7" name="Saldo"/>
  </tableColumns>
</table>
</file>

<file path=xl/tables/table4.xml><?xml version="1.0" encoding="utf-8"?>
<table xmlns="http://schemas.openxmlformats.org/spreadsheetml/2006/main" id="4" name="_04___RGPS_e_RPPS" displayName="_04___RGPS_e_RPPS" ref="A1:AF166" headerRowCount="1" totalsRowCount="0" totalsRowShown="0">
  <autoFilter ref="A1:AF166"/>
  <tableColumns count="32">
    <tableColumn id="1" name="Mês de Referência"/>
    <tableColumn id="2" name="Receitas RGPS"/>
    <tableColumn id="3" name="Movimento Receitas RGPS"/>
    <tableColumn id="4" name="Receitas RGPS 12 meses"/>
    <tableColumn id="5" name="Despesas RGPS"/>
    <tableColumn id="6" name="Movimento Despesas RGPS"/>
    <tableColumn id="7" name="Despesas RGPS 12 Meses"/>
    <tableColumn id="8" name="Receitas RPPS Civis"/>
    <tableColumn id="9" name="Movimento Receitas RPPS Civis"/>
    <tableColumn id="10" name="Receitas RPPS Civis 12 meses"/>
    <tableColumn id="11" name="Despesas RPPS Civis"/>
    <tableColumn id="12" name="Movimento Despesas RPPS Civis"/>
    <tableColumn id="13" name="Despesas RPPS Civis 12 meses"/>
    <tableColumn id="14" name="Receitas - Militares"/>
    <tableColumn id="15" name="Movimento Receitas - Militares"/>
    <tableColumn id="16" name="Receitas Militares 12 meses"/>
    <tableColumn id="17" name="Despesas - Militares"/>
    <tableColumn id="18" name="Movimento Despesas Militares"/>
    <tableColumn id="19" name="Despesas Militares 12 meses"/>
    <tableColumn id="20" name="Receitas FCDF"/>
    <tableColumn id="21" name="Movimento Receitas FCDF"/>
    <tableColumn id="22" name="Receitas FCDF 12 meses"/>
    <tableColumn id="23" name="Despesas FCDF"/>
    <tableColumn id="24" name="Movimento Despesas FCDF"/>
    <tableColumn id="25" name="Despesas FCDF 12 meses"/>
    <tableColumn id="26" name="Column10"/>
    <tableColumn id="27" name="Column11"/>
    <tableColumn id="28" name="Column12"/>
    <tableColumn id="29" name="Column13"/>
    <tableColumn id="30" name="Mês"/>
    <tableColumn id="31" name="Número_Mês"/>
    <tableColumn id="32" name="Ano"/>
  </tableColumns>
</table>
</file>

<file path=xl/tables/table5.xml><?xml version="1.0" encoding="utf-8"?>
<table xmlns="http://schemas.openxmlformats.org/spreadsheetml/2006/main" id="5" name="_08___EDUCAÇÃO_PBI" displayName="_08___EDUCAÇÃO_PBI" ref="A1:E166" headerRowCount="1" totalsRowCount="0" totalsRowShown="0">
  <autoFilter ref="A1:E166"/>
  <tableColumns count="5">
    <tableColumn id="1" name="DATA"/>
    <tableColumn id="2" name="RLI"/>
    <tableColumn id="3" name="EDUCAÇÃO - DOTAÇÃO ATUALIZADA"/>
    <tableColumn id="4" name="EDUCAÇÃO - DESPESAS EXECUTADAS"/>
    <tableColumn id="5" name="EDUCAÇÃO - LIMITE MÍNIMO"/>
  </tableColumns>
</table>
</file>

<file path=xl/tables/table6.xml><?xml version="1.0" encoding="utf-8"?>
<table xmlns="http://schemas.openxmlformats.org/spreadsheetml/2006/main" id="6" name="_12___SAÚDE_PBI" displayName="_12___SAÚDE_PBI" ref="A1:F166" headerRowCount="1" totalsRowCount="0" totalsRowShown="0">
  <autoFilter ref="A1:F166"/>
  <tableColumns count="6">
    <tableColumn id="1" name="DATA"/>
    <tableColumn id="2" name="SAÚDE - DESPESAS EXECUTADAS (R$ BILHÕES)"/>
    <tableColumn id="3" name="SAÚDE - DOTAÇÃO ATUALIZADA"/>
    <tableColumn id="4" name="SAÚDE - DESPESAS EXECUTADAS (R$)"/>
    <tableColumn id="5" name="SAÚDE - LIMITE MÍNIMO (R$ BILHÕES)"/>
    <tableColumn id="6" name="SAÚDE - LIMITE MÍNIMO (R$)"/>
  </tableColumns>
</table>
</file>

<file path=xl/tables/table7.xml><?xml version="1.0" encoding="utf-8"?>
<table xmlns="http://schemas.openxmlformats.org/spreadsheetml/2006/main" id="7" name="PIB_Ipeadata" displayName="PIB_Ipeadata" ref="A1:B381" headerRowCount="1" totalsRowCount="0" totalsRowShown="0">
  <autoFilter ref="A1:B381"/>
  <tableColumns count="2">
    <tableColumn id="1" name="Data"/>
    <tableColumn id="2" name="PIB - acumulado 12 meses"/>
  </tableColumns>
</table>
</file>

<file path=xl/tables/table8.xml><?xml version="1.0" encoding="utf-8"?>
<table xmlns="http://schemas.openxmlformats.org/spreadsheetml/2006/main" id="8" name="Tabela1" displayName="Tabela1" ref="B12:F28" headerRowCount="1" totalsRowCount="0" totalsRowShown="0">
  <autoFilter ref="B12:F28"/>
  <tableColumns count="5">
    <tableColumn id="1" name="Descrição"/>
    <tableColumn id="2" name="Nome da Coluna"/>
    <tableColumn id="3" name="Coluna a ser buscada"/>
    <tableColumn id="4" name="Ano Atual"/>
    <tableColumn id="5" name="Ano Anterior"/>
  </tableColumns>
</table>
</file>

<file path=xl/tables/table9.xml><?xml version="1.0" encoding="utf-8"?>
<table xmlns="http://schemas.openxmlformats.org/spreadsheetml/2006/main" id="9" name="Tabela3" displayName="Tabela3" ref="B33:G49" headerRowCount="1" totalsRowCount="0" totalsRowShown="0">
  <autoFilter ref="B33:G49"/>
  <tableColumns count="6">
    <tableColumn id="1" name="Descrição"/>
    <tableColumn id="2" name="Nome da Coluna"/>
    <tableColumn id="3" name="Coluna a ser buscada"/>
    <tableColumn id="4" name="Coluna4"/>
    <tableColumn id="5" name="Ano Atual"/>
    <tableColumn id="6" name="Ano Anterior"/>
  </tableColumns>
</tabl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 TargetMode="Interna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 TargetMode="In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 TargetMode="Interna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comments" Target="../comments12.xml" TargetMode="Internal"/><Relationship Id="rId2" Type="http://schemas.openxmlformats.org/officeDocument/2006/relationships/drawing" Target="../drawings/drawing6.xml" TargetMode="Internal"/><Relationship Id="rId3" Type="http://schemas.openxmlformats.org/officeDocument/2006/relationships/vmlDrawing" Target="../drawings/vmlDrawing4.vml" TargetMode="Interna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 TargetMode="Interna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 TargetMode="Interna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 TargetMode="Interna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 TargetMode="Interna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 TargetMode="Interna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 TargetMode="Interna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ivotTable" Target="../pivotTables/pivotTable1.xml" TargetMode="Interna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comments" Target="../comments23.xml" TargetMode="Internal"/><Relationship Id="rId2" Type="http://schemas.openxmlformats.org/officeDocument/2006/relationships/drawing" Target="../drawings/drawing11.xml" TargetMode="Internal"/><Relationship Id="rId3" Type="http://schemas.openxmlformats.org/officeDocument/2006/relationships/vmlDrawing" Target="../drawings/vmlDrawing5.vml" TargetMode="Interna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 TargetMode="In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comments" Target="../comments4.xml" TargetMode="Internal"/><Relationship Id="rId2" Type="http://schemas.openxmlformats.org/officeDocument/2006/relationships/drawing" Target="../drawings/drawing1.xml" TargetMode="Internal"/><Relationship Id="rId3" Type="http://schemas.openxmlformats.org/officeDocument/2006/relationships/vmlDrawing" Target="../drawings/vmlDrawing1.vml" TargetMode="In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comments" Target="../comments5.xml" TargetMode="Internal"/><Relationship Id="rId2" Type="http://schemas.openxmlformats.org/officeDocument/2006/relationships/hyperlink" Target="https://ww2.ibge.gov.br/home/estatistica/indicadores/pib/pib-vol-val_201801_8.shtm" TargetMode="External"/><Relationship Id="rId3" Type="http://schemas.openxmlformats.org/officeDocument/2006/relationships/hyperlink" Target="https://www.ibge.gov.br/estatisticas/economicas/contas-nacionais/9300-contas-nacionais-trimestrais.html?=&amp;t=resultados" TargetMode="External"/><Relationship Id="rId4" Type="http://schemas.openxmlformats.org/officeDocument/2006/relationships/drawing" Target="../drawings/drawing2.xml" TargetMode="Internal"/><Relationship Id="rId5" Type="http://schemas.openxmlformats.org/officeDocument/2006/relationships/vmlDrawing" Target="../drawings/vmlDrawing2.vml" TargetMode="In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 TargetMode="Internal"/><Relationship Id="rId2" Type="http://schemas.openxmlformats.org/officeDocument/2006/relationships/table" Target="../tables/table8.xml" TargetMode="Internal"/><Relationship Id="rId3" Type="http://schemas.openxmlformats.org/officeDocument/2006/relationships/table" Target="../tables/table9.xml" TargetMode="Internal"/><Relationship Id="rId4" Type="http://schemas.openxmlformats.org/officeDocument/2006/relationships/table" Target="../tables/table10.xml" TargetMode="In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 TargetMode="In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comments" Target="../comments8.xml" TargetMode="Internal"/><Relationship Id="rId2" Type="http://schemas.openxmlformats.org/officeDocument/2006/relationships/drawing" Target="../drawings/drawing4.xml" TargetMode="Internal"/><Relationship Id="rId3" Type="http://schemas.openxmlformats.org/officeDocument/2006/relationships/vmlDrawing" Target="../drawings/vmlDrawing3.vml" TargetMode="In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pageSetUpPr fitToPage="false"/>
  </sheetPr>
  <sheetViews>
    <sheetView topLeftCell="A1" zoomScale="120" workbookViewId="0" colorId="64" defaultGridColor="true" rightToLeft="false" showFormulas="false" showOutlineSymbols="true" showRowColHeaders="true" showZeros="true" tabSelected="false" view="normal" zoomScaleNormal="120" zoomScalePageLayoutView="100">
      <selection pane="topLeft" activeCell="A1" sqref="A1:F166" activeCellId="0"/>
    </sheetView>
  </sheetViews>
  <sheetFormatPr baseColWidth="8" defaultRowHeight="13"/>
  <cols>
    <col min="1" max="1" width="42.39" style="1" customWidth="1"/>
    <col min="2" max="2" width="21.46" style="1" customWidth="1"/>
    <col min="3" max="3" width="41.04" style="1" customWidth="1"/>
    <col min="4" max="4" width="17.01" style="1" customWidth="1"/>
    <col min="5" max="5" width="22.68" style="1" customWidth="1"/>
    <col min="6" max="6" width="41.71" style="1" customWidth="1"/>
    <col min="7" max="7" width="11.34" style="1" customWidth="1"/>
    <col min="8" max="8" width="42.39" style="1" customWidth="1"/>
    <col min="9" max="9" width="28.21" style="1" customWidth="1"/>
    <col min="10" max="10" width="41.04" style="1" customWidth="1"/>
    <col min="11" max="11" width="19.98" style="1" customWidth="1"/>
    <col min="12" max="12" width="23.49" style="1" customWidth="1"/>
    <col min="13" max="13" width="41.71" style="1" customWidth="1"/>
    <col min="14" max="14" width="25.92" style="1" customWidth="1"/>
    <col min="15" max="15" width="10.12" style="1" customWidth="1"/>
    <col min="16" max="16" width="38.2" style="1" customWidth="1"/>
    <col min="17" max="17" width="36.31" style="1" customWidth="1"/>
    <col min="18" max="1025" width="8.37" style="1" customWidth="1"/>
  </cols>
  <sheetData>
    <row ht="13.8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ht="13.8" outlineLevel="0" r="2">
      <c r="A2" s="1" t="s">
        <v>7</v>
      </c>
      <c r="B2" s="1" t="s">
        <v>8</v>
      </c>
      <c r="C2" s="1" t="s">
        <v>9</v>
      </c>
      <c r="D2" s="3">
        <v>43101</v>
      </c>
      <c r="E2" s="1" t="s">
        <v>10</v>
      </c>
      <c r="F2" s="1" t="s">
        <v>11</v>
      </c>
      <c r="G2" s="1">
        <v>334636482136.5</v>
      </c>
    </row>
    <row ht="13.8" outlineLevel="0" r="3">
      <c r="A3" s="1" t="s">
        <v>12</v>
      </c>
      <c r="B3" s="1" t="s">
        <v>8</v>
      </c>
      <c r="C3" s="1" t="s">
        <v>9</v>
      </c>
      <c r="D3" s="3">
        <v>43101</v>
      </c>
      <c r="E3" s="1" t="s">
        <v>10</v>
      </c>
      <c r="F3" s="1" t="s">
        <v>11</v>
      </c>
      <c r="G3" s="1">
        <v>596268399679</v>
      </c>
    </row>
    <row ht="13.8" outlineLevel="0" r="4">
      <c r="A4" s="1" t="s">
        <v>13</v>
      </c>
      <c r="B4" s="1" t="s">
        <v>8</v>
      </c>
      <c r="C4" s="1" t="s">
        <v>9</v>
      </c>
      <c r="D4" s="3">
        <v>43101</v>
      </c>
      <c r="E4" s="1" t="s">
        <v>10</v>
      </c>
      <c r="F4" s="1" t="s">
        <v>11</v>
      </c>
      <c r="G4" s="1">
        <v>320086868266.41</v>
      </c>
    </row>
    <row ht="13.8" outlineLevel="0" r="5">
      <c r="A5" s="1" t="s">
        <v>7</v>
      </c>
      <c r="B5" s="1" t="s">
        <v>8</v>
      </c>
      <c r="C5" s="1" t="s">
        <v>9</v>
      </c>
      <c r="D5" s="3">
        <v>43101</v>
      </c>
      <c r="E5" s="1" t="s">
        <v>14</v>
      </c>
      <c r="F5" s="1" t="s">
        <v>15</v>
      </c>
      <c r="G5" s="1">
        <v>250195903583.56</v>
      </c>
    </row>
    <row ht="13.8" outlineLevel="0" r="6">
      <c r="A6" s="1" t="s">
        <v>12</v>
      </c>
      <c r="B6" s="1" t="s">
        <v>8</v>
      </c>
      <c r="C6" s="1" t="s">
        <v>9</v>
      </c>
      <c r="D6" s="3">
        <v>43101</v>
      </c>
      <c r="E6" s="1" t="s">
        <v>14</v>
      </c>
      <c r="F6" s="1" t="s">
        <v>15</v>
      </c>
      <c r="G6" s="1">
        <v>385863666639.74</v>
      </c>
    </row>
    <row ht="13.8" outlineLevel="0" r="7">
      <c r="A7" s="1" t="s">
        <v>13</v>
      </c>
      <c r="B7" s="1" t="s">
        <v>8</v>
      </c>
      <c r="C7" s="1" t="s">
        <v>9</v>
      </c>
      <c r="D7" s="3">
        <v>43101</v>
      </c>
      <c r="E7" s="1" t="s">
        <v>14</v>
      </c>
      <c r="F7" s="1" t="s">
        <v>15</v>
      </c>
      <c r="G7" s="1">
        <v>131018204299.351</v>
      </c>
    </row>
    <row ht="13.8" outlineLevel="0" r="8">
      <c r="A8" s="1" t="s">
        <v>7</v>
      </c>
      <c r="B8" s="1" t="s">
        <v>8</v>
      </c>
      <c r="C8" s="1" t="s">
        <v>9</v>
      </c>
      <c r="D8" s="3">
        <v>43101</v>
      </c>
      <c r="E8" s="1" t="s">
        <v>16</v>
      </c>
      <c r="F8" s="1" t="s">
        <v>17</v>
      </c>
      <c r="G8" s="1">
        <v>18936658503.32</v>
      </c>
    </row>
    <row ht="13.8" outlineLevel="0" r="9">
      <c r="A9" s="1" t="s">
        <v>12</v>
      </c>
      <c r="B9" s="1" t="s">
        <v>8</v>
      </c>
      <c r="C9" s="1" t="s">
        <v>9</v>
      </c>
      <c r="D9" s="3">
        <v>43101</v>
      </c>
      <c r="E9" s="1" t="s">
        <v>16</v>
      </c>
      <c r="F9" s="1" t="s">
        <v>17</v>
      </c>
      <c r="G9" s="1">
        <v>45507221951.02</v>
      </c>
    </row>
    <row ht="13.8" outlineLevel="0" r="10">
      <c r="A10" s="1" t="s">
        <v>13</v>
      </c>
      <c r="B10" s="1" t="s">
        <v>8</v>
      </c>
      <c r="C10" s="1" t="s">
        <v>9</v>
      </c>
      <c r="D10" s="3">
        <v>43101</v>
      </c>
      <c r="E10" s="1" t="s">
        <v>16</v>
      </c>
      <c r="F10" s="1" t="s">
        <v>17</v>
      </c>
      <c r="G10" s="1">
        <v>15038582767.5738</v>
      </c>
    </row>
    <row ht="13.8" outlineLevel="0" r="11">
      <c r="A11" s="1" t="s">
        <v>7</v>
      </c>
      <c r="B11" s="1" t="s">
        <v>8</v>
      </c>
      <c r="C11" s="1" t="s">
        <v>9</v>
      </c>
      <c r="D11" s="3">
        <v>43101</v>
      </c>
      <c r="E11" s="1" t="s">
        <v>18</v>
      </c>
      <c r="F11" s="1" t="s">
        <v>19</v>
      </c>
      <c r="G11" s="1">
        <v>18934171892.7</v>
      </c>
    </row>
    <row ht="13.8" outlineLevel="0" r="12">
      <c r="A12" s="1" t="s">
        <v>12</v>
      </c>
      <c r="B12" s="1" t="s">
        <v>8</v>
      </c>
      <c r="C12" s="1" t="s">
        <v>9</v>
      </c>
      <c r="D12" s="3">
        <v>43101</v>
      </c>
      <c r="E12" s="1" t="s">
        <v>18</v>
      </c>
      <c r="F12" s="1" t="s">
        <v>19</v>
      </c>
      <c r="G12" s="1">
        <v>26131350337.34</v>
      </c>
    </row>
    <row ht="13.8" outlineLevel="0" r="13">
      <c r="A13" s="1" t="s">
        <v>13</v>
      </c>
      <c r="B13" s="1" t="s">
        <v>8</v>
      </c>
      <c r="C13" s="1" t="s">
        <v>9</v>
      </c>
      <c r="D13" s="3">
        <v>43101</v>
      </c>
      <c r="E13" s="1" t="s">
        <v>18</v>
      </c>
      <c r="F13" s="1" t="s">
        <v>19</v>
      </c>
      <c r="G13" s="1">
        <v>13561517676.2859</v>
      </c>
    </row>
    <row ht="13.8" outlineLevel="0" r="14">
      <c r="A14" s="1" t="s">
        <v>7</v>
      </c>
      <c r="B14" s="1" t="s">
        <v>8</v>
      </c>
      <c r="C14" s="1" t="s">
        <v>9</v>
      </c>
      <c r="D14" s="3">
        <v>43132</v>
      </c>
      <c r="E14" s="1" t="s">
        <v>10</v>
      </c>
      <c r="F14" s="1" t="s">
        <v>11</v>
      </c>
      <c r="G14" s="1">
        <v>334481346569.81</v>
      </c>
    </row>
    <row ht="13.8" outlineLevel="0" r="15">
      <c r="A15" s="1" t="s">
        <v>12</v>
      </c>
      <c r="B15" s="1" t="s">
        <v>8</v>
      </c>
      <c r="C15" s="1" t="s">
        <v>9</v>
      </c>
      <c r="D15" s="3">
        <v>43132</v>
      </c>
      <c r="E15" s="1" t="s">
        <v>10</v>
      </c>
      <c r="F15" s="1" t="s">
        <v>11</v>
      </c>
      <c r="G15" s="1">
        <v>595768399679</v>
      </c>
    </row>
    <row ht="13.8" outlineLevel="0" r="16">
      <c r="A16" s="1" t="s">
        <v>13</v>
      </c>
      <c r="B16" s="1" t="s">
        <v>8</v>
      </c>
      <c r="C16" s="1" t="s">
        <v>9</v>
      </c>
      <c r="D16" s="3">
        <v>43132</v>
      </c>
      <c r="E16" s="1" t="s">
        <v>10</v>
      </c>
      <c r="F16" s="1" t="s">
        <v>11</v>
      </c>
      <c r="G16" s="1">
        <v>320981612700.09</v>
      </c>
    </row>
    <row ht="13.8" outlineLevel="0" r="17">
      <c r="A17" s="1" t="s">
        <v>7</v>
      </c>
      <c r="B17" s="1" t="s">
        <v>8</v>
      </c>
      <c r="C17" s="1" t="s">
        <v>9</v>
      </c>
      <c r="D17" s="3">
        <v>43132</v>
      </c>
      <c r="E17" s="1" t="s">
        <v>14</v>
      </c>
      <c r="F17" s="1" t="s">
        <v>15</v>
      </c>
      <c r="G17" s="1">
        <v>259739419439.21</v>
      </c>
    </row>
    <row ht="13.8" outlineLevel="0" r="18">
      <c r="A18" s="1" t="s">
        <v>12</v>
      </c>
      <c r="B18" s="1" t="s">
        <v>8</v>
      </c>
      <c r="C18" s="1" t="s">
        <v>9</v>
      </c>
      <c r="D18" s="3">
        <v>43132</v>
      </c>
      <c r="E18" s="1" t="s">
        <v>14</v>
      </c>
      <c r="F18" s="1" t="s">
        <v>15</v>
      </c>
      <c r="G18" s="1">
        <v>477978648022.94</v>
      </c>
    </row>
    <row ht="13.8" outlineLevel="0" r="19">
      <c r="A19" s="1" t="s">
        <v>13</v>
      </c>
      <c r="B19" s="1" t="s">
        <v>8</v>
      </c>
      <c r="C19" s="1" t="s">
        <v>9</v>
      </c>
      <c r="D19" s="3">
        <v>43132</v>
      </c>
      <c r="E19" s="1" t="s">
        <v>14</v>
      </c>
      <c r="F19" s="1" t="s">
        <v>15</v>
      </c>
      <c r="G19" s="1">
        <v>176243592047.804</v>
      </c>
    </row>
    <row ht="13.8" outlineLevel="0" r="20">
      <c r="A20" s="1" t="s">
        <v>7</v>
      </c>
      <c r="B20" s="1" t="s">
        <v>8</v>
      </c>
      <c r="C20" s="1" t="s">
        <v>9</v>
      </c>
      <c r="D20" s="3">
        <v>43132</v>
      </c>
      <c r="E20" s="1" t="s">
        <v>16</v>
      </c>
      <c r="F20" s="1" t="s">
        <v>17</v>
      </c>
      <c r="G20" s="1">
        <v>52664314686.96</v>
      </c>
    </row>
    <row ht="13.8" outlineLevel="0" r="21">
      <c r="A21" s="1" t="s">
        <v>12</v>
      </c>
      <c r="B21" s="1" t="s">
        <v>8</v>
      </c>
      <c r="C21" s="1" t="s">
        <v>9</v>
      </c>
      <c r="D21" s="3">
        <v>43132</v>
      </c>
      <c r="E21" s="1" t="s">
        <v>16</v>
      </c>
      <c r="F21" s="1" t="s">
        <v>17</v>
      </c>
      <c r="G21" s="1">
        <v>89660253600.66</v>
      </c>
    </row>
    <row ht="13.8" outlineLevel="0" r="22">
      <c r="A22" s="1" t="s">
        <v>13</v>
      </c>
      <c r="B22" s="1" t="s">
        <v>8</v>
      </c>
      <c r="C22" s="1" t="s">
        <v>9</v>
      </c>
      <c r="D22" s="3">
        <v>43132</v>
      </c>
      <c r="E22" s="1" t="s">
        <v>16</v>
      </c>
      <c r="F22" s="1" t="s">
        <v>17</v>
      </c>
      <c r="G22" s="1">
        <v>33634201878.7666</v>
      </c>
    </row>
    <row ht="13.8" outlineLevel="0" r="23">
      <c r="A23" s="1" t="s">
        <v>7</v>
      </c>
      <c r="B23" s="1" t="s">
        <v>8</v>
      </c>
      <c r="C23" s="1" t="s">
        <v>9</v>
      </c>
      <c r="D23" s="3">
        <v>43132</v>
      </c>
      <c r="E23" s="1" t="s">
        <v>18</v>
      </c>
      <c r="F23" s="1" t="s">
        <v>19</v>
      </c>
      <c r="G23" s="1">
        <v>52663276916.69</v>
      </c>
    </row>
    <row ht="13.8" outlineLevel="0" r="24">
      <c r="A24" s="1" t="s">
        <v>12</v>
      </c>
      <c r="B24" s="1" t="s">
        <v>8</v>
      </c>
      <c r="C24" s="1" t="s">
        <v>9</v>
      </c>
      <c r="D24" s="3">
        <v>43132</v>
      </c>
      <c r="E24" s="1" t="s">
        <v>18</v>
      </c>
      <c r="F24" s="1" t="s">
        <v>19</v>
      </c>
      <c r="G24" s="1">
        <v>70360867417.67</v>
      </c>
    </row>
    <row ht="13.8" outlineLevel="0" r="25">
      <c r="A25" s="1" t="s">
        <v>13</v>
      </c>
      <c r="B25" s="1" t="s">
        <v>8</v>
      </c>
      <c r="C25" s="1" t="s">
        <v>9</v>
      </c>
      <c r="D25" s="3">
        <v>43132</v>
      </c>
      <c r="E25" s="1" t="s">
        <v>18</v>
      </c>
      <c r="F25" s="1" t="s">
        <v>19</v>
      </c>
      <c r="G25" s="1">
        <v>31790860733.6332</v>
      </c>
    </row>
    <row ht="13.8" outlineLevel="0" r="26">
      <c r="A26" s="1" t="s">
        <v>7</v>
      </c>
      <c r="B26" s="1" t="s">
        <v>8</v>
      </c>
      <c r="C26" s="1" t="s">
        <v>9</v>
      </c>
      <c r="D26" s="3">
        <v>43160</v>
      </c>
      <c r="E26" s="1" t="s">
        <v>10</v>
      </c>
      <c r="F26" s="1" t="s">
        <v>11</v>
      </c>
      <c r="G26" s="1">
        <v>335594440723.15</v>
      </c>
    </row>
    <row ht="13.8" outlineLevel="0" r="27">
      <c r="A27" s="1" t="s">
        <v>12</v>
      </c>
      <c r="B27" s="1" t="s">
        <v>8</v>
      </c>
      <c r="C27" s="1" t="s">
        <v>9</v>
      </c>
      <c r="D27" s="3">
        <v>43160</v>
      </c>
      <c r="E27" s="1" t="s">
        <v>10</v>
      </c>
      <c r="F27" s="1" t="s">
        <v>11</v>
      </c>
      <c r="G27" s="1">
        <v>595768399679</v>
      </c>
    </row>
    <row ht="13.8" outlineLevel="0" r="28">
      <c r="A28" s="1" t="s">
        <v>13</v>
      </c>
      <c r="B28" s="1" t="s">
        <v>8</v>
      </c>
      <c r="C28" s="1" t="s">
        <v>9</v>
      </c>
      <c r="D28" s="3">
        <v>43160</v>
      </c>
      <c r="E28" s="1" t="s">
        <v>10</v>
      </c>
      <c r="F28" s="1" t="s">
        <v>11</v>
      </c>
      <c r="G28" s="1">
        <v>322048418383.87</v>
      </c>
    </row>
    <row ht="13.8" outlineLevel="0" r="29">
      <c r="A29" s="1" t="s">
        <v>7</v>
      </c>
      <c r="B29" s="1" t="s">
        <v>8</v>
      </c>
      <c r="C29" s="1" t="s">
        <v>9</v>
      </c>
      <c r="D29" s="3">
        <v>43160</v>
      </c>
      <c r="E29" s="1" t="s">
        <v>14</v>
      </c>
      <c r="F29" s="1" t="s">
        <v>15</v>
      </c>
      <c r="G29" s="1">
        <v>267764092614.19</v>
      </c>
    </row>
    <row ht="13.8" outlineLevel="0" r="30">
      <c r="A30" s="1" t="s">
        <v>12</v>
      </c>
      <c r="B30" s="1" t="s">
        <v>8</v>
      </c>
      <c r="C30" s="1" t="s">
        <v>9</v>
      </c>
      <c r="D30" s="3">
        <v>43160</v>
      </c>
      <c r="E30" s="1" t="s">
        <v>14</v>
      </c>
      <c r="F30" s="1" t="s">
        <v>15</v>
      </c>
      <c r="G30" s="1">
        <v>483391487802.84</v>
      </c>
    </row>
    <row ht="13.8" outlineLevel="0" r="31">
      <c r="A31" s="1" t="s">
        <v>13</v>
      </c>
      <c r="B31" s="1" t="s">
        <v>8</v>
      </c>
      <c r="C31" s="1" t="s">
        <v>9</v>
      </c>
      <c r="D31" s="3">
        <v>43160</v>
      </c>
      <c r="E31" s="1" t="s">
        <v>14</v>
      </c>
      <c r="F31" s="1" t="s">
        <v>15</v>
      </c>
      <c r="G31" s="1">
        <v>186719724850.752</v>
      </c>
    </row>
    <row ht="13.8" outlineLevel="0" r="32">
      <c r="A32" s="1" t="s">
        <v>7</v>
      </c>
      <c r="B32" s="1" t="s">
        <v>8</v>
      </c>
      <c r="C32" s="1" t="s">
        <v>9</v>
      </c>
      <c r="D32" s="3">
        <v>43160</v>
      </c>
      <c r="E32" s="1" t="s">
        <v>16</v>
      </c>
      <c r="F32" s="1" t="s">
        <v>17</v>
      </c>
      <c r="G32" s="1">
        <v>78713912100.9</v>
      </c>
    </row>
    <row ht="13.8" outlineLevel="0" r="33">
      <c r="A33" s="1" t="s">
        <v>12</v>
      </c>
      <c r="B33" s="1" t="s">
        <v>8</v>
      </c>
      <c r="C33" s="1" t="s">
        <v>9</v>
      </c>
      <c r="D33" s="3">
        <v>43160</v>
      </c>
      <c r="E33" s="1" t="s">
        <v>16</v>
      </c>
      <c r="F33" s="1" t="s">
        <v>17</v>
      </c>
      <c r="G33" s="1">
        <v>139386769837.32</v>
      </c>
    </row>
    <row ht="13.8" outlineLevel="0" r="34">
      <c r="A34" s="1" t="s">
        <v>13</v>
      </c>
      <c r="B34" s="1" t="s">
        <v>8</v>
      </c>
      <c r="C34" s="1" t="s">
        <v>9</v>
      </c>
      <c r="D34" s="3">
        <v>43160</v>
      </c>
      <c r="E34" s="1" t="s">
        <v>16</v>
      </c>
      <c r="F34" s="1" t="s">
        <v>17</v>
      </c>
      <c r="G34" s="1">
        <v>56007900901.557</v>
      </c>
    </row>
    <row ht="13.8" outlineLevel="0" r="35">
      <c r="A35" s="1" t="s">
        <v>7</v>
      </c>
      <c r="B35" s="1" t="s">
        <v>8</v>
      </c>
      <c r="C35" s="1" t="s">
        <v>9</v>
      </c>
      <c r="D35" s="3">
        <v>43160</v>
      </c>
      <c r="E35" s="1" t="s">
        <v>18</v>
      </c>
      <c r="F35" s="1" t="s">
        <v>19</v>
      </c>
      <c r="G35" s="1">
        <v>78322922425.74</v>
      </c>
    </row>
    <row ht="13.8" outlineLevel="0" r="36">
      <c r="A36" s="1" t="s">
        <v>12</v>
      </c>
      <c r="B36" s="1" t="s">
        <v>8</v>
      </c>
      <c r="C36" s="1" t="s">
        <v>9</v>
      </c>
      <c r="D36" s="3">
        <v>43160</v>
      </c>
      <c r="E36" s="1" t="s">
        <v>18</v>
      </c>
      <c r="F36" s="1" t="s">
        <v>19</v>
      </c>
      <c r="G36" s="1">
        <v>120028646775.61</v>
      </c>
    </row>
    <row ht="13.8" outlineLevel="0" r="37">
      <c r="A37" s="1" t="s">
        <v>13</v>
      </c>
      <c r="B37" s="1" t="s">
        <v>8</v>
      </c>
      <c r="C37" s="1" t="s">
        <v>9</v>
      </c>
      <c r="D37" s="3">
        <v>43160</v>
      </c>
      <c r="E37" s="1" t="s">
        <v>18</v>
      </c>
      <c r="F37" s="1" t="s">
        <v>19</v>
      </c>
      <c r="G37" s="1">
        <v>53678999410.2198</v>
      </c>
    </row>
    <row ht="13.8" outlineLevel="0" r="38">
      <c r="A38" s="1" t="s">
        <v>7</v>
      </c>
      <c r="B38" s="1" t="s">
        <v>8</v>
      </c>
      <c r="C38" s="1" t="s">
        <v>9</v>
      </c>
      <c r="D38" s="3">
        <v>43191</v>
      </c>
      <c r="E38" s="1" t="s">
        <v>10</v>
      </c>
      <c r="F38" s="1" t="s">
        <v>11</v>
      </c>
      <c r="G38" s="1">
        <v>336016286660.59</v>
      </c>
    </row>
    <row ht="13.8" outlineLevel="0" r="39">
      <c r="A39" s="1" t="s">
        <v>12</v>
      </c>
      <c r="B39" s="1" t="s">
        <v>8</v>
      </c>
      <c r="C39" s="1" t="s">
        <v>9</v>
      </c>
      <c r="D39" s="3">
        <v>43191</v>
      </c>
      <c r="E39" s="1" t="s">
        <v>10</v>
      </c>
      <c r="F39" s="1" t="s">
        <v>11</v>
      </c>
      <c r="G39" s="1">
        <v>592372705890</v>
      </c>
    </row>
    <row ht="13.8" outlineLevel="0" r="40">
      <c r="A40" s="1" t="s">
        <v>13</v>
      </c>
      <c r="B40" s="1" t="s">
        <v>8</v>
      </c>
      <c r="C40" s="1" t="s">
        <v>9</v>
      </c>
      <c r="D40" s="3">
        <v>43191</v>
      </c>
      <c r="E40" s="1" t="s">
        <v>10</v>
      </c>
      <c r="F40" s="1" t="s">
        <v>11</v>
      </c>
      <c r="G40" s="1">
        <v>319401974182.37</v>
      </c>
    </row>
    <row ht="13.8" outlineLevel="0" r="41">
      <c r="A41" s="1" t="s">
        <v>7</v>
      </c>
      <c r="B41" s="1" t="s">
        <v>8</v>
      </c>
      <c r="C41" s="1" t="s">
        <v>9</v>
      </c>
      <c r="D41" s="3">
        <v>43191</v>
      </c>
      <c r="E41" s="1" t="s">
        <v>14</v>
      </c>
      <c r="F41" s="1" t="s">
        <v>15</v>
      </c>
      <c r="G41" s="1">
        <v>275227730614.77</v>
      </c>
    </row>
    <row ht="13.8" outlineLevel="0" r="42">
      <c r="A42" s="1" t="s">
        <v>12</v>
      </c>
      <c r="B42" s="1" t="s">
        <v>8</v>
      </c>
      <c r="C42" s="1" t="s">
        <v>9</v>
      </c>
      <c r="D42" s="3">
        <v>43191</v>
      </c>
      <c r="E42" s="1" t="s">
        <v>14</v>
      </c>
      <c r="F42" s="1" t="s">
        <v>15</v>
      </c>
      <c r="G42" s="1">
        <v>484265395754.89</v>
      </c>
    </row>
    <row ht="13.8" outlineLevel="0" r="43">
      <c r="A43" s="1" t="s">
        <v>13</v>
      </c>
      <c r="B43" s="1" t="s">
        <v>8</v>
      </c>
      <c r="C43" s="1" t="s">
        <v>9</v>
      </c>
      <c r="D43" s="3">
        <v>43191</v>
      </c>
      <c r="E43" s="1" t="s">
        <v>14</v>
      </c>
      <c r="F43" s="1" t="s">
        <v>15</v>
      </c>
      <c r="G43" s="1">
        <v>214102369611.514</v>
      </c>
    </row>
    <row ht="13.8" outlineLevel="0" r="44">
      <c r="A44" s="1" t="s">
        <v>7</v>
      </c>
      <c r="B44" s="1" t="s">
        <v>8</v>
      </c>
      <c r="C44" s="1" t="s">
        <v>9</v>
      </c>
      <c r="D44" s="3">
        <v>43191</v>
      </c>
      <c r="E44" s="1" t="s">
        <v>16</v>
      </c>
      <c r="F44" s="1" t="s">
        <v>17</v>
      </c>
      <c r="G44" s="1">
        <v>103852532099.5</v>
      </c>
    </row>
    <row ht="13.8" outlineLevel="0" r="45">
      <c r="A45" s="1" t="s">
        <v>12</v>
      </c>
      <c r="B45" s="1" t="s">
        <v>8</v>
      </c>
      <c r="C45" s="1" t="s">
        <v>9</v>
      </c>
      <c r="D45" s="3">
        <v>43191</v>
      </c>
      <c r="E45" s="1" t="s">
        <v>16</v>
      </c>
      <c r="F45" s="1" t="s">
        <v>17</v>
      </c>
      <c r="G45" s="1">
        <v>184757964429.88</v>
      </c>
    </row>
    <row ht="13.8" outlineLevel="0" r="46">
      <c r="A46" s="1" t="s">
        <v>13</v>
      </c>
      <c r="B46" s="1" t="s">
        <v>8</v>
      </c>
      <c r="C46" s="1" t="s">
        <v>9</v>
      </c>
      <c r="D46" s="3">
        <v>43191</v>
      </c>
      <c r="E46" s="1" t="s">
        <v>16</v>
      </c>
      <c r="F46" s="1" t="s">
        <v>17</v>
      </c>
      <c r="G46" s="1">
        <v>87150855170.3226</v>
      </c>
    </row>
    <row ht="13.8" outlineLevel="0" r="47">
      <c r="A47" s="1" t="s">
        <v>7</v>
      </c>
      <c r="B47" s="1" t="s">
        <v>8</v>
      </c>
      <c r="C47" s="1" t="s">
        <v>9</v>
      </c>
      <c r="D47" s="3">
        <v>43191</v>
      </c>
      <c r="E47" s="1" t="s">
        <v>18</v>
      </c>
      <c r="F47" s="1" t="s">
        <v>19</v>
      </c>
      <c r="G47" s="1">
        <v>103800045535.91</v>
      </c>
    </row>
    <row ht="13.8" outlineLevel="0" r="48">
      <c r="A48" s="1" t="s">
        <v>12</v>
      </c>
      <c r="B48" s="1" t="s">
        <v>8</v>
      </c>
      <c r="C48" s="1" t="s">
        <v>9</v>
      </c>
      <c r="D48" s="3">
        <v>43191</v>
      </c>
      <c r="E48" s="1" t="s">
        <v>18</v>
      </c>
      <c r="F48" s="1" t="s">
        <v>19</v>
      </c>
      <c r="G48" s="1">
        <v>165068315663.77</v>
      </c>
    </row>
    <row ht="13.8" outlineLevel="0" r="49">
      <c r="A49" s="1" t="s">
        <v>13</v>
      </c>
      <c r="B49" s="1" t="s">
        <v>8</v>
      </c>
      <c r="C49" s="1" t="s">
        <v>9</v>
      </c>
      <c r="D49" s="3">
        <v>43191</v>
      </c>
      <c r="E49" s="1" t="s">
        <v>18</v>
      </c>
      <c r="F49" s="1" t="s">
        <v>19</v>
      </c>
      <c r="G49" s="1">
        <v>83867574427.3523</v>
      </c>
    </row>
    <row ht="13.8" outlineLevel="0" r="50">
      <c r="A50" s="1" t="s">
        <v>7</v>
      </c>
      <c r="B50" s="1" t="s">
        <v>8</v>
      </c>
      <c r="C50" s="1" t="s">
        <v>9</v>
      </c>
      <c r="D50" s="3">
        <v>43221</v>
      </c>
      <c r="E50" s="1" t="s">
        <v>10</v>
      </c>
      <c r="F50" s="1" t="s">
        <v>11</v>
      </c>
      <c r="G50" s="1">
        <v>339457527374.69</v>
      </c>
    </row>
    <row ht="13.8" outlineLevel="0" r="51">
      <c r="A51" s="1" t="s">
        <v>12</v>
      </c>
      <c r="B51" s="1" t="s">
        <v>8</v>
      </c>
      <c r="C51" s="1" t="s">
        <v>9</v>
      </c>
      <c r="D51" s="3">
        <v>43221</v>
      </c>
      <c r="E51" s="1" t="s">
        <v>10</v>
      </c>
      <c r="F51" s="1" t="s">
        <v>11</v>
      </c>
      <c r="G51" s="1">
        <v>592372705890</v>
      </c>
    </row>
    <row ht="13.8" outlineLevel="0" r="52">
      <c r="A52" s="1" t="s">
        <v>13</v>
      </c>
      <c r="B52" s="1" t="s">
        <v>8</v>
      </c>
      <c r="C52" s="1" t="s">
        <v>9</v>
      </c>
      <c r="D52" s="3">
        <v>43221</v>
      </c>
      <c r="E52" s="1" t="s">
        <v>10</v>
      </c>
      <c r="F52" s="1" t="s">
        <v>11</v>
      </c>
      <c r="G52" s="1">
        <v>320071985379.45</v>
      </c>
    </row>
    <row ht="13.8" outlineLevel="0" r="53">
      <c r="A53" s="1" t="s">
        <v>7</v>
      </c>
      <c r="B53" s="1" t="s">
        <v>8</v>
      </c>
      <c r="C53" s="1" t="s">
        <v>9</v>
      </c>
      <c r="D53" s="3">
        <v>43221</v>
      </c>
      <c r="E53" s="1" t="s">
        <v>14</v>
      </c>
      <c r="F53" s="1" t="s">
        <v>15</v>
      </c>
      <c r="G53" s="1">
        <v>284983214164.79</v>
      </c>
    </row>
    <row ht="13.8" outlineLevel="0" r="54">
      <c r="A54" s="1" t="s">
        <v>12</v>
      </c>
      <c r="B54" s="1" t="s">
        <v>8</v>
      </c>
      <c r="C54" s="1" t="s">
        <v>9</v>
      </c>
      <c r="D54" s="3">
        <v>43221</v>
      </c>
      <c r="E54" s="1" t="s">
        <v>14</v>
      </c>
      <c r="F54" s="1" t="s">
        <v>15</v>
      </c>
      <c r="G54" s="1">
        <v>485217568535.03</v>
      </c>
    </row>
    <row ht="13.8" outlineLevel="0" r="55">
      <c r="A55" s="1" t="s">
        <v>13</v>
      </c>
      <c r="B55" s="1" t="s">
        <v>8</v>
      </c>
      <c r="C55" s="1" t="s">
        <v>9</v>
      </c>
      <c r="D55" s="3">
        <v>43221</v>
      </c>
      <c r="E55" s="1" t="s">
        <v>14</v>
      </c>
      <c r="F55" s="1" t="s">
        <v>15</v>
      </c>
      <c r="G55" s="1">
        <v>225482152033.734</v>
      </c>
    </row>
    <row ht="13.8" outlineLevel="0" r="56">
      <c r="A56" s="1" t="s">
        <v>7</v>
      </c>
      <c r="B56" s="1" t="s">
        <v>8</v>
      </c>
      <c r="C56" s="1" t="s">
        <v>9</v>
      </c>
      <c r="D56" s="3">
        <v>43221</v>
      </c>
      <c r="E56" s="1" t="s">
        <v>16</v>
      </c>
      <c r="F56" s="1" t="s">
        <v>17</v>
      </c>
      <c r="G56" s="1">
        <v>136273386696.68</v>
      </c>
    </row>
    <row ht="13.8" outlineLevel="0" r="57">
      <c r="A57" s="1" t="s">
        <v>12</v>
      </c>
      <c r="B57" s="1" t="s">
        <v>8</v>
      </c>
      <c r="C57" s="1" t="s">
        <v>9</v>
      </c>
      <c r="D57" s="3">
        <v>43221</v>
      </c>
      <c r="E57" s="1" t="s">
        <v>16</v>
      </c>
      <c r="F57" s="1" t="s">
        <v>17</v>
      </c>
      <c r="G57" s="1">
        <v>230090786818.45</v>
      </c>
    </row>
    <row ht="13.8" outlineLevel="0" r="58">
      <c r="A58" s="1" t="s">
        <v>13</v>
      </c>
      <c r="B58" s="1" t="s">
        <v>8</v>
      </c>
      <c r="C58" s="1" t="s">
        <v>9</v>
      </c>
      <c r="D58" s="3">
        <v>43221</v>
      </c>
      <c r="E58" s="1" t="s">
        <v>16</v>
      </c>
      <c r="F58" s="1" t="s">
        <v>17</v>
      </c>
      <c r="G58" s="1">
        <v>108042517855.987</v>
      </c>
    </row>
    <row ht="13.8" outlineLevel="0" r="59">
      <c r="A59" s="1" t="s">
        <v>7</v>
      </c>
      <c r="B59" s="1" t="s">
        <v>8</v>
      </c>
      <c r="C59" s="1" t="s">
        <v>9</v>
      </c>
      <c r="D59" s="3">
        <v>43221</v>
      </c>
      <c r="E59" s="1" t="s">
        <v>18</v>
      </c>
      <c r="F59" s="1" t="s">
        <v>19</v>
      </c>
      <c r="G59" s="1">
        <v>136253623772.6</v>
      </c>
    </row>
    <row ht="13.8" outlineLevel="0" r="60">
      <c r="A60" s="1" t="s">
        <v>12</v>
      </c>
      <c r="B60" s="1" t="s">
        <v>8</v>
      </c>
      <c r="C60" s="1" t="s">
        <v>9</v>
      </c>
      <c r="D60" s="3">
        <v>43221</v>
      </c>
      <c r="E60" s="1" t="s">
        <v>18</v>
      </c>
      <c r="F60" s="1" t="s">
        <v>19</v>
      </c>
      <c r="G60" s="1">
        <v>210495912443.33</v>
      </c>
    </row>
    <row ht="13.8" outlineLevel="0" r="61">
      <c r="A61" s="1" t="s">
        <v>13</v>
      </c>
      <c r="B61" s="1" t="s">
        <v>8</v>
      </c>
      <c r="C61" s="1" t="s">
        <v>9</v>
      </c>
      <c r="D61" s="3">
        <v>43221</v>
      </c>
      <c r="E61" s="1" t="s">
        <v>18</v>
      </c>
      <c r="F61" s="1" t="s">
        <v>19</v>
      </c>
      <c r="G61" s="1">
        <v>104467376204.534</v>
      </c>
    </row>
    <row ht="13.8" outlineLevel="0" r="62">
      <c r="A62" s="1" t="s">
        <v>7</v>
      </c>
      <c r="B62" s="1" t="s">
        <v>8</v>
      </c>
      <c r="C62" s="1" t="s">
        <v>9</v>
      </c>
      <c r="D62" s="3">
        <v>43252</v>
      </c>
      <c r="E62" s="1" t="s">
        <v>10</v>
      </c>
      <c r="F62" s="1" t="s">
        <v>11</v>
      </c>
      <c r="G62" s="1">
        <v>339547343510.38</v>
      </c>
    </row>
    <row ht="13.8" outlineLevel="0" r="63">
      <c r="A63" s="1" t="s">
        <v>12</v>
      </c>
      <c r="B63" s="1" t="s">
        <v>8</v>
      </c>
      <c r="C63" s="1" t="s">
        <v>9</v>
      </c>
      <c r="D63" s="3">
        <v>43252</v>
      </c>
      <c r="E63" s="1" t="s">
        <v>10</v>
      </c>
      <c r="F63" s="1" t="s">
        <v>11</v>
      </c>
      <c r="G63" s="1">
        <v>592372705890</v>
      </c>
    </row>
    <row ht="13.8" outlineLevel="0" r="64">
      <c r="A64" s="1" t="s">
        <v>13</v>
      </c>
      <c r="B64" s="1" t="s">
        <v>8</v>
      </c>
      <c r="C64" s="1" t="s">
        <v>9</v>
      </c>
      <c r="D64" s="3">
        <v>43252</v>
      </c>
      <c r="E64" s="1" t="s">
        <v>10</v>
      </c>
      <c r="F64" s="1" t="s">
        <v>11</v>
      </c>
      <c r="G64" s="1">
        <v>328938146366.1</v>
      </c>
    </row>
    <row ht="13.8" outlineLevel="0" r="65">
      <c r="A65" s="1" t="s">
        <v>7</v>
      </c>
      <c r="B65" s="1" t="s">
        <v>8</v>
      </c>
      <c r="C65" s="1" t="s">
        <v>9</v>
      </c>
      <c r="D65" s="3">
        <v>43252</v>
      </c>
      <c r="E65" s="1" t="s">
        <v>14</v>
      </c>
      <c r="F65" s="1" t="s">
        <v>15</v>
      </c>
      <c r="G65" s="1">
        <v>293380441366.47</v>
      </c>
    </row>
    <row ht="13.8" outlineLevel="0" r="66">
      <c r="A66" s="1" t="s">
        <v>12</v>
      </c>
      <c r="B66" s="1" t="s">
        <v>8</v>
      </c>
      <c r="C66" s="1" t="s">
        <v>9</v>
      </c>
      <c r="D66" s="3">
        <v>43252</v>
      </c>
      <c r="E66" s="1" t="s">
        <v>14</v>
      </c>
      <c r="F66" s="1" t="s">
        <v>15</v>
      </c>
      <c r="G66" s="1">
        <v>485782419262.11</v>
      </c>
    </row>
    <row ht="13.8" outlineLevel="0" r="67">
      <c r="A67" s="1" t="s">
        <v>13</v>
      </c>
      <c r="B67" s="1" t="s">
        <v>8</v>
      </c>
      <c r="C67" s="1" t="s">
        <v>9</v>
      </c>
      <c r="D67" s="3">
        <v>43252</v>
      </c>
      <c r="E67" s="1" t="s">
        <v>14</v>
      </c>
      <c r="F67" s="1" t="s">
        <v>15</v>
      </c>
      <c r="G67" s="1">
        <v>236101102966.161</v>
      </c>
    </row>
    <row ht="13.8" outlineLevel="0" r="68">
      <c r="A68" s="1" t="s">
        <v>7</v>
      </c>
      <c r="B68" s="1" t="s">
        <v>8</v>
      </c>
      <c r="C68" s="1" t="s">
        <v>9</v>
      </c>
      <c r="D68" s="3">
        <v>43252</v>
      </c>
      <c r="E68" s="1" t="s">
        <v>16</v>
      </c>
      <c r="F68" s="1" t="s">
        <v>17</v>
      </c>
      <c r="G68" s="1">
        <v>165700145970.34</v>
      </c>
    </row>
    <row ht="13.8" outlineLevel="0" r="69">
      <c r="A69" s="1" t="s">
        <v>12</v>
      </c>
      <c r="B69" s="1" t="s">
        <v>8</v>
      </c>
      <c r="C69" s="1" t="s">
        <v>9</v>
      </c>
      <c r="D69" s="3">
        <v>43252</v>
      </c>
      <c r="E69" s="1" t="s">
        <v>16</v>
      </c>
      <c r="F69" s="1" t="s">
        <v>17</v>
      </c>
      <c r="G69" s="1">
        <v>275266633839.32</v>
      </c>
    </row>
    <row ht="13.8" outlineLevel="0" r="70">
      <c r="A70" s="1" t="s">
        <v>13</v>
      </c>
      <c r="B70" s="1" t="s">
        <v>8</v>
      </c>
      <c r="C70" s="1" t="s">
        <v>9</v>
      </c>
      <c r="D70" s="3">
        <v>43252</v>
      </c>
      <c r="E70" s="1" t="s">
        <v>16</v>
      </c>
      <c r="F70" s="1" t="s">
        <v>17</v>
      </c>
      <c r="G70" s="1">
        <v>129131120529.682</v>
      </c>
    </row>
    <row ht="13.8" outlineLevel="0" r="71">
      <c r="A71" s="1" t="s">
        <v>7</v>
      </c>
      <c r="B71" s="1" t="s">
        <v>8</v>
      </c>
      <c r="C71" s="1" t="s">
        <v>9</v>
      </c>
      <c r="D71" s="3">
        <v>43252</v>
      </c>
      <c r="E71" s="1" t="s">
        <v>18</v>
      </c>
      <c r="F71" s="1" t="s">
        <v>19</v>
      </c>
      <c r="G71" s="1">
        <v>165695359234.9</v>
      </c>
    </row>
    <row ht="13.8" outlineLevel="0" r="72">
      <c r="A72" s="1" t="s">
        <v>12</v>
      </c>
      <c r="B72" s="1" t="s">
        <v>8</v>
      </c>
      <c r="C72" s="1" t="s">
        <v>9</v>
      </c>
      <c r="D72" s="3">
        <v>43252</v>
      </c>
      <c r="E72" s="1" t="s">
        <v>18</v>
      </c>
      <c r="F72" s="1" t="s">
        <v>19</v>
      </c>
      <c r="G72" s="1">
        <v>255708256590.72</v>
      </c>
    </row>
    <row ht="13.8" outlineLevel="0" r="73">
      <c r="A73" s="1" t="s">
        <v>13</v>
      </c>
      <c r="B73" s="1" t="s">
        <v>8</v>
      </c>
      <c r="C73" s="1" t="s">
        <v>9</v>
      </c>
      <c r="D73" s="3">
        <v>43252</v>
      </c>
      <c r="E73" s="1" t="s">
        <v>18</v>
      </c>
      <c r="F73" s="1" t="s">
        <v>19</v>
      </c>
      <c r="G73" s="1">
        <v>125543450506.595</v>
      </c>
    </row>
    <row ht="13.8" outlineLevel="0" r="74">
      <c r="A74" s="1" t="s">
        <v>7</v>
      </c>
      <c r="B74" s="1" t="s">
        <v>8</v>
      </c>
      <c r="C74" s="1" t="s">
        <v>9</v>
      </c>
      <c r="D74" s="3">
        <v>43282</v>
      </c>
      <c r="E74" s="1" t="s">
        <v>10</v>
      </c>
      <c r="F74" s="1" t="s">
        <v>11</v>
      </c>
      <c r="G74" s="1">
        <v>339606473193.93</v>
      </c>
    </row>
    <row ht="13.8" outlineLevel="0" r="75">
      <c r="A75" s="1" t="s">
        <v>12</v>
      </c>
      <c r="B75" s="1" t="s">
        <v>8</v>
      </c>
      <c r="C75" s="1" t="s">
        <v>9</v>
      </c>
      <c r="D75" s="3">
        <v>43282</v>
      </c>
      <c r="E75" s="1" t="s">
        <v>10</v>
      </c>
      <c r="F75" s="1" t="s">
        <v>11</v>
      </c>
      <c r="G75" s="1">
        <v>592372705890</v>
      </c>
    </row>
    <row ht="13.8" outlineLevel="0" r="76">
      <c r="A76" s="1" t="s">
        <v>13</v>
      </c>
      <c r="B76" s="1" t="s">
        <v>8</v>
      </c>
      <c r="C76" s="1" t="s">
        <v>9</v>
      </c>
      <c r="D76" s="3">
        <v>43282</v>
      </c>
      <c r="E76" s="1" t="s">
        <v>10</v>
      </c>
      <c r="F76" s="1" t="s">
        <v>11</v>
      </c>
      <c r="G76" s="1">
        <v>329006534065.57</v>
      </c>
    </row>
    <row ht="13.8" outlineLevel="0" r="77">
      <c r="A77" s="1" t="s">
        <v>7</v>
      </c>
      <c r="B77" s="1" t="s">
        <v>8</v>
      </c>
      <c r="C77" s="1" t="s">
        <v>9</v>
      </c>
      <c r="D77" s="3">
        <v>43282</v>
      </c>
      <c r="E77" s="1" t="s">
        <v>14</v>
      </c>
      <c r="F77" s="1" t="s">
        <v>15</v>
      </c>
      <c r="G77" s="1">
        <v>299931844437.4</v>
      </c>
    </row>
    <row ht="13.8" outlineLevel="0" r="78">
      <c r="A78" s="1" t="s">
        <v>12</v>
      </c>
      <c r="B78" s="1" t="s">
        <v>8</v>
      </c>
      <c r="C78" s="1" t="s">
        <v>9</v>
      </c>
      <c r="D78" s="3">
        <v>43282</v>
      </c>
      <c r="E78" s="1" t="s">
        <v>14</v>
      </c>
      <c r="F78" s="1" t="s">
        <v>15</v>
      </c>
      <c r="G78" s="1">
        <v>486976724502.45</v>
      </c>
    </row>
    <row ht="13.8" outlineLevel="0" r="79">
      <c r="A79" s="1" t="s">
        <v>13</v>
      </c>
      <c r="B79" s="1" t="s">
        <v>8</v>
      </c>
      <c r="C79" s="1" t="s">
        <v>9</v>
      </c>
      <c r="D79" s="3">
        <v>43282</v>
      </c>
      <c r="E79" s="1" t="s">
        <v>14</v>
      </c>
      <c r="F79" s="1" t="s">
        <v>15</v>
      </c>
      <c r="G79" s="1">
        <v>245072478124.978</v>
      </c>
    </row>
    <row ht="13.8" outlineLevel="0" r="80">
      <c r="A80" s="1" t="s">
        <v>7</v>
      </c>
      <c r="B80" s="1" t="s">
        <v>8</v>
      </c>
      <c r="C80" s="1" t="s">
        <v>9</v>
      </c>
      <c r="D80" s="3">
        <v>43282</v>
      </c>
      <c r="E80" s="1" t="s">
        <v>16</v>
      </c>
      <c r="F80" s="1" t="s">
        <v>17</v>
      </c>
      <c r="G80" s="1">
        <v>193378929790.7</v>
      </c>
    </row>
    <row ht="13.8" outlineLevel="0" r="81">
      <c r="A81" s="1" t="s">
        <v>12</v>
      </c>
      <c r="B81" s="1" t="s">
        <v>8</v>
      </c>
      <c r="C81" s="1" t="s">
        <v>9</v>
      </c>
      <c r="D81" s="3">
        <v>43282</v>
      </c>
      <c r="E81" s="1" t="s">
        <v>16</v>
      </c>
      <c r="F81" s="1" t="s">
        <v>17</v>
      </c>
      <c r="G81" s="1">
        <v>320790540981.45</v>
      </c>
    </row>
    <row ht="13.8" outlineLevel="0" r="82">
      <c r="A82" s="1" t="s">
        <v>13</v>
      </c>
      <c r="B82" s="1" t="s">
        <v>8</v>
      </c>
      <c r="C82" s="1" t="s">
        <v>9</v>
      </c>
      <c r="D82" s="3">
        <v>43282</v>
      </c>
      <c r="E82" s="1" t="s">
        <v>16</v>
      </c>
      <c r="F82" s="1" t="s">
        <v>17</v>
      </c>
      <c r="G82" s="1">
        <v>155575332046.654</v>
      </c>
    </row>
    <row ht="13.8" outlineLevel="0" r="83">
      <c r="A83" s="1" t="s">
        <v>7</v>
      </c>
      <c r="B83" s="1" t="s">
        <v>8</v>
      </c>
      <c r="C83" s="1" t="s">
        <v>9</v>
      </c>
      <c r="D83" s="3">
        <v>43282</v>
      </c>
      <c r="E83" s="1" t="s">
        <v>18</v>
      </c>
      <c r="F83" s="1" t="s">
        <v>19</v>
      </c>
      <c r="G83" s="1">
        <v>193373737848.54</v>
      </c>
    </row>
    <row ht="13.8" outlineLevel="0" r="84">
      <c r="A84" s="1" t="s">
        <v>12</v>
      </c>
      <c r="B84" s="1" t="s">
        <v>8</v>
      </c>
      <c r="C84" s="1" t="s">
        <v>9</v>
      </c>
      <c r="D84" s="3">
        <v>43282</v>
      </c>
      <c r="E84" s="1" t="s">
        <v>18</v>
      </c>
      <c r="F84" s="1" t="s">
        <v>19</v>
      </c>
      <c r="G84" s="1">
        <v>301088739052.51</v>
      </c>
    </row>
    <row ht="13.8" outlineLevel="0" r="85">
      <c r="A85" s="1" t="s">
        <v>13</v>
      </c>
      <c r="B85" s="1" t="s">
        <v>8</v>
      </c>
      <c r="C85" s="1" t="s">
        <v>9</v>
      </c>
      <c r="D85" s="3">
        <v>43282</v>
      </c>
      <c r="E85" s="1" t="s">
        <v>18</v>
      </c>
      <c r="F85" s="1" t="s">
        <v>19</v>
      </c>
      <c r="G85" s="1">
        <v>151784124965.916</v>
      </c>
    </row>
    <row ht="13.8" outlineLevel="0" r="86">
      <c r="A86" s="1" t="s">
        <v>7</v>
      </c>
      <c r="B86" s="1" t="s">
        <v>8</v>
      </c>
      <c r="C86" s="1" t="s">
        <v>9</v>
      </c>
      <c r="D86" s="3">
        <v>43313</v>
      </c>
      <c r="E86" s="1" t="s">
        <v>10</v>
      </c>
      <c r="F86" s="1" t="s">
        <v>11</v>
      </c>
      <c r="G86" s="1">
        <v>340130613220.36</v>
      </c>
    </row>
    <row ht="13.8" outlineLevel="0" r="87">
      <c r="A87" s="1" t="s">
        <v>12</v>
      </c>
      <c r="B87" s="1" t="s">
        <v>8</v>
      </c>
      <c r="C87" s="1" t="s">
        <v>9</v>
      </c>
      <c r="D87" s="3">
        <v>43313</v>
      </c>
      <c r="E87" s="1" t="s">
        <v>10</v>
      </c>
      <c r="F87" s="1" t="s">
        <v>11</v>
      </c>
      <c r="G87" s="1">
        <v>592372705890</v>
      </c>
    </row>
    <row ht="13.8" outlineLevel="0" r="88">
      <c r="A88" s="1" t="s">
        <v>13</v>
      </c>
      <c r="B88" s="1" t="s">
        <v>8</v>
      </c>
      <c r="C88" s="1" t="s">
        <v>9</v>
      </c>
      <c r="D88" s="3">
        <v>43313</v>
      </c>
      <c r="E88" s="1" t="s">
        <v>10</v>
      </c>
      <c r="F88" s="1" t="s">
        <v>11</v>
      </c>
      <c r="G88" s="1">
        <v>328313706391.17</v>
      </c>
    </row>
    <row ht="13.8" outlineLevel="0" r="89">
      <c r="A89" s="1" t="s">
        <v>7</v>
      </c>
      <c r="B89" s="1" t="s">
        <v>8</v>
      </c>
      <c r="C89" s="1" t="s">
        <v>9</v>
      </c>
      <c r="D89" s="3">
        <v>43313</v>
      </c>
      <c r="E89" s="1" t="s">
        <v>14</v>
      </c>
      <c r="F89" s="1" t="s">
        <v>15</v>
      </c>
      <c r="G89" s="1">
        <v>311024142864.39</v>
      </c>
    </row>
    <row ht="13.8" outlineLevel="0" r="90">
      <c r="A90" s="1" t="s">
        <v>12</v>
      </c>
      <c r="B90" s="1" t="s">
        <v>8</v>
      </c>
      <c r="C90" s="1" t="s">
        <v>9</v>
      </c>
      <c r="D90" s="3">
        <v>43313</v>
      </c>
      <c r="E90" s="1" t="s">
        <v>14</v>
      </c>
      <c r="F90" s="1" t="s">
        <v>15</v>
      </c>
      <c r="G90" s="1">
        <v>502743539755.07</v>
      </c>
    </row>
    <row ht="13.8" outlineLevel="0" r="91">
      <c r="A91" s="1" t="s">
        <v>13</v>
      </c>
      <c r="B91" s="1" t="s">
        <v>8</v>
      </c>
      <c r="C91" s="1" t="s">
        <v>9</v>
      </c>
      <c r="D91" s="3">
        <v>43313</v>
      </c>
      <c r="E91" s="1" t="s">
        <v>14</v>
      </c>
      <c r="F91" s="1" t="s">
        <v>15</v>
      </c>
      <c r="G91" s="1">
        <v>256156829367.809</v>
      </c>
    </row>
    <row ht="13.8" outlineLevel="0" r="92">
      <c r="A92" s="1" t="s">
        <v>7</v>
      </c>
      <c r="B92" s="1" t="s">
        <v>8</v>
      </c>
      <c r="C92" s="1" t="s">
        <v>9</v>
      </c>
      <c r="D92" s="3">
        <v>43313</v>
      </c>
      <c r="E92" s="1" t="s">
        <v>16</v>
      </c>
      <c r="F92" s="1" t="s">
        <v>17</v>
      </c>
      <c r="G92" s="1">
        <v>222864527619.6</v>
      </c>
    </row>
    <row ht="13.8" outlineLevel="0" r="93">
      <c r="A93" s="1" t="s">
        <v>12</v>
      </c>
      <c r="B93" s="1" t="s">
        <v>8</v>
      </c>
      <c r="C93" s="1" t="s">
        <v>9</v>
      </c>
      <c r="D93" s="3">
        <v>43313</v>
      </c>
      <c r="E93" s="1" t="s">
        <v>16</v>
      </c>
      <c r="F93" s="1" t="s">
        <v>17</v>
      </c>
      <c r="G93" s="1">
        <v>386261263335.09</v>
      </c>
    </row>
    <row ht="13.8" outlineLevel="0" r="94">
      <c r="A94" s="1" t="s">
        <v>13</v>
      </c>
      <c r="B94" s="1" t="s">
        <v>8</v>
      </c>
      <c r="C94" s="1" t="s">
        <v>9</v>
      </c>
      <c r="D94" s="3">
        <v>43313</v>
      </c>
      <c r="E94" s="1" t="s">
        <v>16</v>
      </c>
      <c r="F94" s="1" t="s">
        <v>17</v>
      </c>
      <c r="G94" s="1">
        <v>182533592909.799</v>
      </c>
    </row>
    <row ht="13.8" outlineLevel="0" r="95">
      <c r="A95" s="1" t="s">
        <v>7</v>
      </c>
      <c r="B95" s="1" t="s">
        <v>8</v>
      </c>
      <c r="C95" s="1" t="s">
        <v>9</v>
      </c>
      <c r="D95" s="3">
        <v>43313</v>
      </c>
      <c r="E95" s="1" t="s">
        <v>18</v>
      </c>
      <c r="F95" s="1" t="s">
        <v>19</v>
      </c>
      <c r="G95" s="1">
        <v>222839110628.19</v>
      </c>
    </row>
    <row ht="13.8" outlineLevel="0" r="96">
      <c r="A96" s="1" t="s">
        <v>12</v>
      </c>
      <c r="B96" s="1" t="s">
        <v>8</v>
      </c>
      <c r="C96" s="1" t="s">
        <v>9</v>
      </c>
      <c r="D96" s="3">
        <v>43313</v>
      </c>
      <c r="E96" s="1" t="s">
        <v>18</v>
      </c>
      <c r="F96" s="1" t="s">
        <v>19</v>
      </c>
      <c r="G96" s="1">
        <v>358224829092.93</v>
      </c>
    </row>
    <row ht="13.8" outlineLevel="0" r="97">
      <c r="A97" s="1" t="s">
        <v>13</v>
      </c>
      <c r="B97" s="1" t="s">
        <v>8</v>
      </c>
      <c r="C97" s="1" t="s">
        <v>9</v>
      </c>
      <c r="D97" s="3">
        <v>43313</v>
      </c>
      <c r="E97" s="1" t="s">
        <v>18</v>
      </c>
      <c r="F97" s="1" t="s">
        <v>19</v>
      </c>
      <c r="G97" s="1">
        <v>178744677718.585</v>
      </c>
    </row>
    <row ht="13.8" outlineLevel="0" r="98">
      <c r="A98" s="1" t="s">
        <v>7</v>
      </c>
      <c r="B98" s="1" t="s">
        <v>8</v>
      </c>
      <c r="C98" s="1" t="s">
        <v>9</v>
      </c>
      <c r="D98" s="3">
        <v>43344</v>
      </c>
      <c r="E98" s="1" t="s">
        <v>10</v>
      </c>
      <c r="F98" s="1" t="s">
        <v>11</v>
      </c>
      <c r="G98" s="1">
        <v>340270423281.08</v>
      </c>
    </row>
    <row ht="13.8" outlineLevel="0" r="99">
      <c r="A99" s="1" t="s">
        <v>12</v>
      </c>
      <c r="B99" s="1" t="s">
        <v>8</v>
      </c>
      <c r="C99" s="1" t="s">
        <v>9</v>
      </c>
      <c r="D99" s="3">
        <v>43344</v>
      </c>
      <c r="E99" s="1" t="s">
        <v>10</v>
      </c>
      <c r="F99" s="1" t="s">
        <v>11</v>
      </c>
      <c r="G99" s="1">
        <v>592372705890</v>
      </c>
    </row>
    <row ht="13.8" outlineLevel="0" r="100">
      <c r="A100" s="1" t="s">
        <v>13</v>
      </c>
      <c r="B100" s="1" t="s">
        <v>8</v>
      </c>
      <c r="C100" s="1" t="s">
        <v>9</v>
      </c>
      <c r="D100" s="3">
        <v>43344</v>
      </c>
      <c r="E100" s="1" t="s">
        <v>10</v>
      </c>
      <c r="F100" s="1" t="s">
        <v>11</v>
      </c>
      <c r="G100" s="1">
        <v>328291709116.67</v>
      </c>
    </row>
    <row ht="13.8" outlineLevel="0" r="101">
      <c r="A101" s="1" t="s">
        <v>7</v>
      </c>
      <c r="B101" s="1" t="s">
        <v>8</v>
      </c>
      <c r="C101" s="1" t="s">
        <v>9</v>
      </c>
      <c r="D101" s="3">
        <v>43344</v>
      </c>
      <c r="E101" s="1" t="s">
        <v>14</v>
      </c>
      <c r="F101" s="1" t="s">
        <v>15</v>
      </c>
      <c r="G101" s="1">
        <v>318599548339.12</v>
      </c>
    </row>
    <row ht="13.8" outlineLevel="0" r="102">
      <c r="A102" s="1" t="s">
        <v>12</v>
      </c>
      <c r="B102" s="1" t="s">
        <v>8</v>
      </c>
      <c r="C102" s="1" t="s">
        <v>9</v>
      </c>
      <c r="D102" s="3">
        <v>43344</v>
      </c>
      <c r="E102" s="1" t="s">
        <v>14</v>
      </c>
      <c r="F102" s="1" t="s">
        <v>15</v>
      </c>
      <c r="G102" s="1">
        <v>539612946320.35</v>
      </c>
    </row>
    <row ht="13.8" outlineLevel="0" r="103">
      <c r="A103" s="1" t="s">
        <v>13</v>
      </c>
      <c r="B103" s="1" t="s">
        <v>8</v>
      </c>
      <c r="C103" s="1" t="s">
        <v>9</v>
      </c>
      <c r="D103" s="3">
        <v>43344</v>
      </c>
      <c r="E103" s="1" t="s">
        <v>14</v>
      </c>
      <c r="F103" s="1" t="s">
        <v>15</v>
      </c>
      <c r="G103" s="1">
        <v>271091874720.159</v>
      </c>
    </row>
    <row ht="13.8" outlineLevel="0" r="104">
      <c r="A104" s="1" t="s">
        <v>7</v>
      </c>
      <c r="B104" s="1" t="s">
        <v>8</v>
      </c>
      <c r="C104" s="1" t="s">
        <v>9</v>
      </c>
      <c r="D104" s="3">
        <v>43344</v>
      </c>
      <c r="E104" s="1" t="s">
        <v>16</v>
      </c>
      <c r="F104" s="1" t="s">
        <v>17</v>
      </c>
      <c r="G104" s="1">
        <v>245287323717.06</v>
      </c>
    </row>
    <row ht="13.8" outlineLevel="0" r="105">
      <c r="A105" s="1" t="s">
        <v>12</v>
      </c>
      <c r="B105" s="1" t="s">
        <v>8</v>
      </c>
      <c r="C105" s="1" t="s">
        <v>9</v>
      </c>
      <c r="D105" s="3">
        <v>43344</v>
      </c>
      <c r="E105" s="1" t="s">
        <v>16</v>
      </c>
      <c r="F105" s="1" t="s">
        <v>17</v>
      </c>
      <c r="G105" s="1">
        <v>431606491337.01</v>
      </c>
    </row>
    <row ht="13.8" outlineLevel="0" r="106">
      <c r="A106" s="1" t="s">
        <v>13</v>
      </c>
      <c r="B106" s="1" t="s">
        <v>8</v>
      </c>
      <c r="C106" s="1" t="s">
        <v>9</v>
      </c>
      <c r="D106" s="3">
        <v>43344</v>
      </c>
      <c r="E106" s="1" t="s">
        <v>16</v>
      </c>
      <c r="F106" s="1" t="s">
        <v>17</v>
      </c>
      <c r="G106" s="1">
        <v>205287919936.905</v>
      </c>
    </row>
    <row ht="13.8" outlineLevel="0" r="107">
      <c r="A107" s="1" t="s">
        <v>7</v>
      </c>
      <c r="B107" s="1" t="s">
        <v>8</v>
      </c>
      <c r="C107" s="1" t="s">
        <v>9</v>
      </c>
      <c r="D107" s="3">
        <v>43344</v>
      </c>
      <c r="E107" s="1" t="s">
        <v>18</v>
      </c>
      <c r="F107" s="1" t="s">
        <v>19</v>
      </c>
      <c r="G107" s="1">
        <v>245281068798.23</v>
      </c>
    </row>
    <row ht="13.8" outlineLevel="0" r="108">
      <c r="A108" s="1" t="s">
        <v>12</v>
      </c>
      <c r="B108" s="1" t="s">
        <v>8</v>
      </c>
      <c r="C108" s="1" t="s">
        <v>9</v>
      </c>
      <c r="D108" s="3">
        <v>43344</v>
      </c>
      <c r="E108" s="1" t="s">
        <v>18</v>
      </c>
      <c r="F108" s="1" t="s">
        <v>19</v>
      </c>
      <c r="G108" s="1">
        <v>411618525441.59</v>
      </c>
    </row>
    <row ht="13.8" outlineLevel="0" r="109">
      <c r="A109" s="1" t="s">
        <v>13</v>
      </c>
      <c r="B109" s="1" t="s">
        <v>8</v>
      </c>
      <c r="C109" s="1" t="s">
        <v>9</v>
      </c>
      <c r="D109" s="3">
        <v>43344</v>
      </c>
      <c r="E109" s="1" t="s">
        <v>18</v>
      </c>
      <c r="F109" s="1" t="s">
        <v>19</v>
      </c>
      <c r="G109" s="1">
        <v>201933935853.993</v>
      </c>
    </row>
    <row ht="13.8" outlineLevel="0" r="110">
      <c r="A110" s="1" t="s">
        <v>7</v>
      </c>
      <c r="B110" s="1" t="s">
        <v>8</v>
      </c>
      <c r="C110" s="1" t="s">
        <v>9</v>
      </c>
      <c r="D110" s="3">
        <v>43374</v>
      </c>
      <c r="E110" s="1" t="s">
        <v>10</v>
      </c>
      <c r="F110" s="1" t="s">
        <v>11</v>
      </c>
      <c r="G110" s="1">
        <v>339961907844.72</v>
      </c>
    </row>
    <row ht="13.8" outlineLevel="0" r="111">
      <c r="A111" s="1" t="s">
        <v>12</v>
      </c>
      <c r="B111" s="1" t="s">
        <v>8</v>
      </c>
      <c r="C111" s="1" t="s">
        <v>9</v>
      </c>
      <c r="D111" s="3">
        <v>43374</v>
      </c>
      <c r="E111" s="1" t="s">
        <v>10</v>
      </c>
      <c r="F111" s="1" t="s">
        <v>11</v>
      </c>
      <c r="G111" s="1">
        <v>593149108342</v>
      </c>
    </row>
    <row ht="13.8" outlineLevel="0" r="112">
      <c r="A112" s="1" t="s">
        <v>13</v>
      </c>
      <c r="B112" s="1" t="s">
        <v>8</v>
      </c>
      <c r="C112" s="1" t="s">
        <v>9</v>
      </c>
      <c r="D112" s="3">
        <v>43374</v>
      </c>
      <c r="E112" s="1" t="s">
        <v>10</v>
      </c>
      <c r="F112" s="1" t="s">
        <v>11</v>
      </c>
      <c r="G112" s="1">
        <v>328064705489.04</v>
      </c>
    </row>
    <row ht="13.8" outlineLevel="0" r="113">
      <c r="A113" s="1" t="s">
        <v>7</v>
      </c>
      <c r="B113" s="1" t="s">
        <v>8</v>
      </c>
      <c r="C113" s="1" t="s">
        <v>9</v>
      </c>
      <c r="D113" s="3">
        <v>43374</v>
      </c>
      <c r="E113" s="1" t="s">
        <v>14</v>
      </c>
      <c r="F113" s="1" t="s">
        <v>15</v>
      </c>
      <c r="G113" s="1">
        <v>329868054383.17</v>
      </c>
    </row>
    <row ht="13.8" outlineLevel="0" r="114">
      <c r="A114" s="1" t="s">
        <v>12</v>
      </c>
      <c r="B114" s="1" t="s">
        <v>8</v>
      </c>
      <c r="C114" s="1" t="s">
        <v>9</v>
      </c>
      <c r="D114" s="3">
        <v>43374</v>
      </c>
      <c r="E114" s="1" t="s">
        <v>14</v>
      </c>
      <c r="F114" s="1" t="s">
        <v>15</v>
      </c>
      <c r="G114" s="1">
        <v>554479869038.7</v>
      </c>
    </row>
    <row ht="13.8" outlineLevel="0" r="115">
      <c r="A115" s="1" t="s">
        <v>13</v>
      </c>
      <c r="B115" s="1" t="s">
        <v>8</v>
      </c>
      <c r="C115" s="1" t="s">
        <v>9</v>
      </c>
      <c r="D115" s="3">
        <v>43374</v>
      </c>
      <c r="E115" s="1" t="s">
        <v>14</v>
      </c>
      <c r="F115" s="1" t="s">
        <v>15</v>
      </c>
      <c r="G115" s="1">
        <v>295903530493.202</v>
      </c>
    </row>
    <row ht="13.8" outlineLevel="0" r="116">
      <c r="A116" s="1" t="s">
        <v>7</v>
      </c>
      <c r="B116" s="1" t="s">
        <v>8</v>
      </c>
      <c r="C116" s="1" t="s">
        <v>9</v>
      </c>
      <c r="D116" s="3">
        <v>43374</v>
      </c>
      <c r="E116" s="1" t="s">
        <v>16</v>
      </c>
      <c r="F116" s="1" t="s">
        <v>17</v>
      </c>
      <c r="G116" s="1">
        <v>272178211388.33</v>
      </c>
    </row>
    <row ht="13.8" outlineLevel="0" r="117">
      <c r="A117" s="1" t="s">
        <v>12</v>
      </c>
      <c r="B117" s="1" t="s">
        <v>8</v>
      </c>
      <c r="C117" s="1" t="s">
        <v>9</v>
      </c>
      <c r="D117" s="3">
        <v>43374</v>
      </c>
      <c r="E117" s="1" t="s">
        <v>16</v>
      </c>
      <c r="F117" s="1" t="s">
        <v>17</v>
      </c>
      <c r="G117" s="1">
        <v>481956111162.57</v>
      </c>
    </row>
    <row ht="13.8" outlineLevel="0" r="118">
      <c r="A118" s="1" t="s">
        <v>13</v>
      </c>
      <c r="B118" s="1" t="s">
        <v>8</v>
      </c>
      <c r="C118" s="1" t="s">
        <v>9</v>
      </c>
      <c r="D118" s="3">
        <v>43374</v>
      </c>
      <c r="E118" s="1" t="s">
        <v>16</v>
      </c>
      <c r="F118" s="1" t="s">
        <v>17</v>
      </c>
      <c r="G118" s="1">
        <v>229593619822.414</v>
      </c>
    </row>
    <row ht="13.8" outlineLevel="0" r="119">
      <c r="A119" s="1" t="s">
        <v>7</v>
      </c>
      <c r="B119" s="1" t="s">
        <v>8</v>
      </c>
      <c r="C119" s="1" t="s">
        <v>9</v>
      </c>
      <c r="D119" s="3">
        <v>43374</v>
      </c>
      <c r="E119" s="1" t="s">
        <v>18</v>
      </c>
      <c r="F119" s="1" t="s">
        <v>19</v>
      </c>
      <c r="G119" s="1">
        <v>269663649258</v>
      </c>
    </row>
    <row ht="13.8" outlineLevel="0" r="120">
      <c r="A120" s="1" t="s">
        <v>12</v>
      </c>
      <c r="B120" s="1" t="s">
        <v>8</v>
      </c>
      <c r="C120" s="1" t="s">
        <v>9</v>
      </c>
      <c r="D120" s="3">
        <v>43374</v>
      </c>
      <c r="E120" s="1" t="s">
        <v>18</v>
      </c>
      <c r="F120" s="1" t="s">
        <v>19</v>
      </c>
      <c r="G120" s="1">
        <v>456928051299.33</v>
      </c>
    </row>
    <row ht="13.8" outlineLevel="0" r="121">
      <c r="A121" s="1" t="s">
        <v>13</v>
      </c>
      <c r="B121" s="1" t="s">
        <v>8</v>
      </c>
      <c r="C121" s="1" t="s">
        <v>9</v>
      </c>
      <c r="D121" s="3">
        <v>43374</v>
      </c>
      <c r="E121" s="1" t="s">
        <v>18</v>
      </c>
      <c r="F121" s="1" t="s">
        <v>19</v>
      </c>
      <c r="G121" s="1">
        <v>226338206974.162</v>
      </c>
    </row>
    <row ht="13.8" outlineLevel="0" r="122">
      <c r="A122" s="1" t="s">
        <v>7</v>
      </c>
      <c r="B122" s="1" t="s">
        <v>8</v>
      </c>
      <c r="C122" s="1" t="s">
        <v>9</v>
      </c>
      <c r="D122" s="3">
        <v>43405</v>
      </c>
      <c r="E122" s="1" t="s">
        <v>10</v>
      </c>
      <c r="F122" s="1" t="s">
        <v>11</v>
      </c>
      <c r="G122" s="1">
        <v>348696188569.65</v>
      </c>
    </row>
    <row ht="13.8" outlineLevel="0" r="123">
      <c r="A123" s="1" t="s">
        <v>12</v>
      </c>
      <c r="B123" s="1" t="s">
        <v>8</v>
      </c>
      <c r="C123" s="1" t="s">
        <v>9</v>
      </c>
      <c r="D123" s="3">
        <v>43405</v>
      </c>
      <c r="E123" s="1" t="s">
        <v>10</v>
      </c>
      <c r="F123" s="1" t="s">
        <v>11</v>
      </c>
      <c r="G123" s="1">
        <v>592940082788</v>
      </c>
    </row>
    <row ht="13.8" outlineLevel="0" r="124">
      <c r="A124" s="1" t="s">
        <v>13</v>
      </c>
      <c r="B124" s="1" t="s">
        <v>8</v>
      </c>
      <c r="C124" s="1" t="s">
        <v>9</v>
      </c>
      <c r="D124" s="3">
        <v>43405</v>
      </c>
      <c r="E124" s="1" t="s">
        <v>10</v>
      </c>
      <c r="F124" s="1" t="s">
        <v>11</v>
      </c>
      <c r="G124" s="1">
        <v>327641321443.53</v>
      </c>
    </row>
    <row ht="13.8" outlineLevel="0" r="125">
      <c r="A125" s="1" t="s">
        <v>7</v>
      </c>
      <c r="B125" s="1" t="s">
        <v>8</v>
      </c>
      <c r="C125" s="1" t="s">
        <v>9</v>
      </c>
      <c r="D125" s="3">
        <v>43405</v>
      </c>
      <c r="E125" s="1" t="s">
        <v>14</v>
      </c>
      <c r="F125" s="1" t="s">
        <v>15</v>
      </c>
      <c r="G125" s="1">
        <v>343326710335.74</v>
      </c>
    </row>
    <row ht="13.8" outlineLevel="0" r="126">
      <c r="A126" s="1" t="s">
        <v>12</v>
      </c>
      <c r="B126" s="1" t="s">
        <v>8</v>
      </c>
      <c r="C126" s="1" t="s">
        <v>9</v>
      </c>
      <c r="D126" s="3">
        <v>43405</v>
      </c>
      <c r="E126" s="1" t="s">
        <v>14</v>
      </c>
      <c r="F126" s="1" t="s">
        <v>15</v>
      </c>
      <c r="G126" s="1">
        <v>584746056381.09</v>
      </c>
    </row>
    <row ht="13.8" outlineLevel="0" r="127">
      <c r="A127" s="1" t="s">
        <v>13</v>
      </c>
      <c r="B127" s="1" t="s">
        <v>8</v>
      </c>
      <c r="C127" s="1" t="s">
        <v>9</v>
      </c>
      <c r="D127" s="3">
        <v>43405</v>
      </c>
      <c r="E127" s="1" t="s">
        <v>14</v>
      </c>
      <c r="F127" s="1" t="s">
        <v>15</v>
      </c>
      <c r="G127" s="1">
        <v>304794997002.427</v>
      </c>
    </row>
    <row ht="13.8" outlineLevel="0" r="128">
      <c r="A128" s="1" t="s">
        <v>7</v>
      </c>
      <c r="B128" s="1" t="s">
        <v>8</v>
      </c>
      <c r="C128" s="1" t="s">
        <v>9</v>
      </c>
      <c r="D128" s="3">
        <v>43405</v>
      </c>
      <c r="E128" s="1" t="s">
        <v>16</v>
      </c>
      <c r="F128" s="1" t="s">
        <v>17</v>
      </c>
      <c r="G128" s="1">
        <v>305799675075.37</v>
      </c>
    </row>
    <row ht="13.8" outlineLevel="0" r="129">
      <c r="A129" s="1" t="s">
        <v>12</v>
      </c>
      <c r="B129" s="1" t="s">
        <v>8</v>
      </c>
      <c r="C129" s="1" t="s">
        <v>9</v>
      </c>
      <c r="D129" s="3">
        <v>43405</v>
      </c>
      <c r="E129" s="1" t="s">
        <v>16</v>
      </c>
      <c r="F129" s="1" t="s">
        <v>17</v>
      </c>
      <c r="G129" s="1">
        <v>543972231455.97</v>
      </c>
    </row>
    <row ht="13.8" outlineLevel="0" r="130">
      <c r="A130" s="1" t="s">
        <v>13</v>
      </c>
      <c r="B130" s="1" t="s">
        <v>8</v>
      </c>
      <c r="C130" s="1" t="s">
        <v>9</v>
      </c>
      <c r="D130" s="3">
        <v>43405</v>
      </c>
      <c r="E130" s="1" t="s">
        <v>16</v>
      </c>
      <c r="F130" s="1" t="s">
        <v>17</v>
      </c>
      <c r="G130" s="1">
        <v>254606059708.4</v>
      </c>
    </row>
    <row ht="13.8" outlineLevel="0" r="131">
      <c r="A131" s="1" t="s">
        <v>7</v>
      </c>
      <c r="B131" s="1" t="s">
        <v>8</v>
      </c>
      <c r="C131" s="1" t="s">
        <v>9</v>
      </c>
      <c r="D131" s="3">
        <v>43405</v>
      </c>
      <c r="E131" s="1" t="s">
        <v>18</v>
      </c>
      <c r="F131" s="1" t="s">
        <v>19</v>
      </c>
      <c r="G131" s="1">
        <v>302480840430.51</v>
      </c>
    </row>
    <row ht="13.8" outlineLevel="0" r="132">
      <c r="A132" s="1" t="s">
        <v>12</v>
      </c>
      <c r="B132" s="1" t="s">
        <v>8</v>
      </c>
      <c r="C132" s="1" t="s">
        <v>9</v>
      </c>
      <c r="D132" s="3">
        <v>43405</v>
      </c>
      <c r="E132" s="1" t="s">
        <v>18</v>
      </c>
      <c r="F132" s="1" t="s">
        <v>19</v>
      </c>
      <c r="G132" s="1">
        <v>515108986238.16</v>
      </c>
    </row>
    <row ht="13.8" outlineLevel="0" r="133">
      <c r="A133" s="1" t="s">
        <v>13</v>
      </c>
      <c r="B133" s="1" t="s">
        <v>8</v>
      </c>
      <c r="C133" s="1" t="s">
        <v>9</v>
      </c>
      <c r="D133" s="3">
        <v>43405</v>
      </c>
      <c r="E133" s="1" t="s">
        <v>18</v>
      </c>
      <c r="F133" s="1" t="s">
        <v>19</v>
      </c>
      <c r="G133" s="1">
        <v>251100116558.795</v>
      </c>
    </row>
    <row ht="13.8" outlineLevel="0" r="134">
      <c r="A134" s="1" t="s">
        <v>7</v>
      </c>
      <c r="B134" s="1" t="s">
        <v>8</v>
      </c>
      <c r="C134" s="1" t="s">
        <v>9</v>
      </c>
      <c r="D134" s="3">
        <v>43435</v>
      </c>
      <c r="E134" s="1" t="s">
        <v>10</v>
      </c>
      <c r="F134" s="1" t="s">
        <v>11</v>
      </c>
      <c r="G134" s="1">
        <v>352555577459.25</v>
      </c>
    </row>
    <row ht="13.8" outlineLevel="0" r="135">
      <c r="A135" s="1" t="s">
        <v>12</v>
      </c>
      <c r="B135" s="1" t="s">
        <v>8</v>
      </c>
      <c r="C135" s="1" t="s">
        <v>9</v>
      </c>
      <c r="D135" s="3">
        <v>43435</v>
      </c>
      <c r="E135" s="1" t="s">
        <v>10</v>
      </c>
      <c r="F135" s="1" t="s">
        <v>11</v>
      </c>
      <c r="G135" s="1">
        <v>591452690969</v>
      </c>
    </row>
    <row ht="13.8" outlineLevel="0" r="136">
      <c r="A136" s="1" t="s">
        <v>13</v>
      </c>
      <c r="B136" s="1" t="s">
        <v>8</v>
      </c>
      <c r="C136" s="1" t="s">
        <v>9</v>
      </c>
      <c r="D136" s="3">
        <v>43435</v>
      </c>
      <c r="E136" s="1" t="s">
        <v>10</v>
      </c>
      <c r="F136" s="1" t="s">
        <v>11</v>
      </c>
      <c r="G136" s="1">
        <v>325505081424.24</v>
      </c>
    </row>
    <row ht="13.8" outlineLevel="0" r="137">
      <c r="A137" s="1" t="s">
        <v>7</v>
      </c>
      <c r="B137" s="1" t="s">
        <v>8</v>
      </c>
      <c r="C137" s="1" t="s">
        <v>9</v>
      </c>
      <c r="D137" s="3">
        <v>43435</v>
      </c>
      <c r="E137" s="1" t="s">
        <v>14</v>
      </c>
      <c r="F137" s="1" t="s">
        <v>15</v>
      </c>
      <c r="G137" s="1">
        <v>350488933582.27</v>
      </c>
    </row>
    <row ht="13.8" outlineLevel="0" r="138">
      <c r="A138" s="1" t="s">
        <v>12</v>
      </c>
      <c r="B138" s="1" t="s">
        <v>8</v>
      </c>
      <c r="C138" s="1" t="s">
        <v>9</v>
      </c>
      <c r="D138" s="3">
        <v>43435</v>
      </c>
      <c r="E138" s="1" t="s">
        <v>14</v>
      </c>
      <c r="F138" s="1" t="s">
        <v>15</v>
      </c>
      <c r="G138" s="1">
        <v>589512727031.15</v>
      </c>
    </row>
    <row ht="13.8" outlineLevel="0" r="139">
      <c r="A139" s="1" t="s">
        <v>13</v>
      </c>
      <c r="B139" s="1" t="s">
        <v>8</v>
      </c>
      <c r="C139" s="1" t="s">
        <v>9</v>
      </c>
      <c r="D139" s="3">
        <v>43435</v>
      </c>
      <c r="E139" s="1" t="s">
        <v>14</v>
      </c>
      <c r="F139" s="1" t="s">
        <v>15</v>
      </c>
      <c r="G139" s="1">
        <v>315844163550.269</v>
      </c>
    </row>
    <row ht="13.8" outlineLevel="0" r="140">
      <c r="A140" s="1" t="s">
        <v>7</v>
      </c>
      <c r="B140" s="1" t="s">
        <v>8</v>
      </c>
      <c r="C140" s="1" t="s">
        <v>9</v>
      </c>
      <c r="D140" s="3">
        <v>43435</v>
      </c>
      <c r="E140" s="1" t="s">
        <v>16</v>
      </c>
      <c r="F140" s="1" t="s">
        <v>17</v>
      </c>
      <c r="G140" s="1">
        <v>340384625504.63</v>
      </c>
    </row>
    <row ht="13.8" outlineLevel="0" r="141">
      <c r="A141" s="1" t="s">
        <v>12</v>
      </c>
      <c r="B141" s="1" t="s">
        <v>8</v>
      </c>
      <c r="C141" s="1" t="s">
        <v>9</v>
      </c>
      <c r="D141" s="3">
        <v>43435</v>
      </c>
      <c r="E141" s="1" t="s">
        <v>16</v>
      </c>
      <c r="F141" s="1" t="s">
        <v>17</v>
      </c>
      <c r="G141" s="1">
        <v>587713565199.93</v>
      </c>
    </row>
    <row ht="13.8" outlineLevel="0" r="142">
      <c r="A142" s="1" t="s">
        <v>13</v>
      </c>
      <c r="B142" s="1" t="s">
        <v>8</v>
      </c>
      <c r="C142" s="1" t="s">
        <v>9</v>
      </c>
      <c r="D142" s="3">
        <v>43435</v>
      </c>
      <c r="E142" s="1" t="s">
        <v>16</v>
      </c>
      <c r="F142" s="1" t="s">
        <v>17</v>
      </c>
      <c r="G142" s="1">
        <v>282492437306.566</v>
      </c>
    </row>
    <row ht="13.8" outlineLevel="0" r="143">
      <c r="A143" s="1" t="s">
        <v>7</v>
      </c>
      <c r="B143" s="1" t="s">
        <v>8</v>
      </c>
      <c r="C143" s="1" t="s">
        <v>9</v>
      </c>
      <c r="D143" s="3">
        <v>43435</v>
      </c>
      <c r="E143" s="1" t="s">
        <v>20</v>
      </c>
      <c r="F143" s="1" t="s">
        <v>21</v>
      </c>
      <c r="G143" s="1">
        <v>10104308077.64</v>
      </c>
    </row>
    <row ht="13.8" outlineLevel="0" r="144">
      <c r="A144" s="1" t="s">
        <v>12</v>
      </c>
      <c r="B144" s="1" t="s">
        <v>8</v>
      </c>
      <c r="C144" s="1" t="s">
        <v>9</v>
      </c>
      <c r="D144" s="3">
        <v>43435</v>
      </c>
      <c r="E144" s="1" t="s">
        <v>20</v>
      </c>
      <c r="F144" s="1" t="s">
        <v>21</v>
      </c>
      <c r="G144" s="1">
        <v>1799161831.22</v>
      </c>
    </row>
    <row ht="13.8" outlineLevel="0" r="145">
      <c r="A145" s="1" t="s">
        <v>13</v>
      </c>
      <c r="B145" s="1" t="s">
        <v>8</v>
      </c>
      <c r="C145" s="1" t="s">
        <v>9</v>
      </c>
      <c r="D145" s="3">
        <v>43435</v>
      </c>
      <c r="E145" s="1" t="s">
        <v>20</v>
      </c>
      <c r="F145" s="1" t="s">
        <v>21</v>
      </c>
      <c r="G145" s="1">
        <v>33351726243.7029</v>
      </c>
    </row>
    <row ht="13.8" outlineLevel="0" r="146">
      <c r="A146" s="1" t="s">
        <v>7</v>
      </c>
      <c r="B146" s="1" t="s">
        <v>8</v>
      </c>
      <c r="C146" s="1" t="s">
        <v>9</v>
      </c>
      <c r="D146" s="3">
        <v>43435</v>
      </c>
      <c r="E146" s="1" t="s">
        <v>18</v>
      </c>
      <c r="F146" s="1" t="s">
        <v>19</v>
      </c>
      <c r="G146" s="1">
        <v>340353069129.71</v>
      </c>
    </row>
    <row ht="13.8" outlineLevel="0" r="147">
      <c r="A147" s="1" t="s">
        <v>12</v>
      </c>
      <c r="B147" s="1" t="s">
        <v>8</v>
      </c>
      <c r="C147" s="1" t="s">
        <v>9</v>
      </c>
      <c r="D147" s="3">
        <v>43435</v>
      </c>
      <c r="E147" s="1" t="s">
        <v>18</v>
      </c>
      <c r="F147" s="1" t="s">
        <v>19</v>
      </c>
      <c r="G147" s="1">
        <v>554552718402.37</v>
      </c>
    </row>
    <row ht="13.8" outlineLevel="0" r="148">
      <c r="A148" s="1" t="s">
        <v>13</v>
      </c>
      <c r="B148" s="1" t="s">
        <v>8</v>
      </c>
      <c r="C148" s="1" t="s">
        <v>9</v>
      </c>
      <c r="D148" s="3">
        <v>43435</v>
      </c>
      <c r="E148" s="1" t="s">
        <v>18</v>
      </c>
      <c r="F148" s="1" t="s">
        <v>19</v>
      </c>
      <c r="G148" s="1">
        <v>277728849356.482</v>
      </c>
    </row>
    <row ht="13.8" outlineLevel="0" r="149">
      <c r="A149" s="1" t="s">
        <v>22</v>
      </c>
      <c r="B149" s="1" t="s">
        <v>23</v>
      </c>
      <c r="C149" s="1" t="s">
        <v>24</v>
      </c>
      <c r="D149" s="3">
        <v>43101</v>
      </c>
      <c r="E149" s="1" t="s">
        <v>10</v>
      </c>
      <c r="F149" s="1" t="s">
        <v>11</v>
      </c>
      <c r="G149" s="1">
        <v>357042318596</v>
      </c>
    </row>
    <row ht="13.8" outlineLevel="0" r="150">
      <c r="A150" s="1" t="s">
        <v>25</v>
      </c>
      <c r="B150" s="1" t="s">
        <v>23</v>
      </c>
      <c r="C150" s="1" t="s">
        <v>24</v>
      </c>
      <c r="D150" s="3">
        <v>43101</v>
      </c>
      <c r="E150" s="1" t="s">
        <v>10</v>
      </c>
      <c r="F150" s="1" t="s">
        <v>11</v>
      </c>
      <c r="G150" s="1">
        <v>1105543609847</v>
      </c>
    </row>
    <row ht="13.8" outlineLevel="0" r="151">
      <c r="A151" s="1" t="s">
        <v>22</v>
      </c>
      <c r="B151" s="1" t="s">
        <v>23</v>
      </c>
      <c r="C151" s="1" t="s">
        <v>24</v>
      </c>
      <c r="D151" s="3">
        <v>43101</v>
      </c>
      <c r="E151" s="1" t="s">
        <v>14</v>
      </c>
      <c r="F151" s="1" t="s">
        <v>15</v>
      </c>
      <c r="G151" s="1">
        <v>72754584944.64</v>
      </c>
    </row>
    <row ht="13.8" outlineLevel="0" r="152">
      <c r="A152" s="1" t="s">
        <v>25</v>
      </c>
      <c r="B152" s="1" t="s">
        <v>23</v>
      </c>
      <c r="C152" s="1" t="s">
        <v>24</v>
      </c>
      <c r="D152" s="3">
        <v>43101</v>
      </c>
      <c r="E152" s="1" t="s">
        <v>14</v>
      </c>
      <c r="F152" s="1" t="s">
        <v>15</v>
      </c>
      <c r="G152" s="1">
        <v>159603237363.68</v>
      </c>
    </row>
    <row ht="13.8" outlineLevel="0" r="153">
      <c r="A153" s="1" t="s">
        <v>22</v>
      </c>
      <c r="B153" s="1" t="s">
        <v>23</v>
      </c>
      <c r="C153" s="1" t="s">
        <v>24</v>
      </c>
      <c r="D153" s="3">
        <v>43101</v>
      </c>
      <c r="E153" s="1" t="s">
        <v>16</v>
      </c>
      <c r="F153" s="1" t="s">
        <v>17</v>
      </c>
      <c r="G153" s="1">
        <v>71458870825.48</v>
      </c>
    </row>
    <row ht="13.8" outlineLevel="0" r="154">
      <c r="A154" s="1" t="s">
        <v>25</v>
      </c>
      <c r="B154" s="1" t="s">
        <v>23</v>
      </c>
      <c r="C154" s="1" t="s">
        <v>24</v>
      </c>
      <c r="D154" s="3">
        <v>43101</v>
      </c>
      <c r="E154" s="1" t="s">
        <v>16</v>
      </c>
      <c r="F154" s="1" t="s">
        <v>17</v>
      </c>
      <c r="G154" s="1">
        <v>138300037986.96</v>
      </c>
    </row>
    <row ht="13.8" outlineLevel="0" r="155">
      <c r="A155" s="1" t="s">
        <v>22</v>
      </c>
      <c r="B155" s="1" t="s">
        <v>23</v>
      </c>
      <c r="C155" s="1" t="s">
        <v>24</v>
      </c>
      <c r="D155" s="3">
        <v>43101</v>
      </c>
      <c r="E155" s="1" t="s">
        <v>18</v>
      </c>
      <c r="F155" s="1" t="s">
        <v>19</v>
      </c>
      <c r="G155" s="1">
        <v>71458870825.48</v>
      </c>
    </row>
    <row ht="13.8" outlineLevel="0" r="156">
      <c r="A156" s="1" t="s">
        <v>25</v>
      </c>
      <c r="B156" s="1" t="s">
        <v>23</v>
      </c>
      <c r="C156" s="1" t="s">
        <v>24</v>
      </c>
      <c r="D156" s="3">
        <v>43101</v>
      </c>
      <c r="E156" s="1" t="s">
        <v>18</v>
      </c>
      <c r="F156" s="1" t="s">
        <v>19</v>
      </c>
      <c r="G156" s="1">
        <v>138300037986.96</v>
      </c>
    </row>
    <row ht="13.8" outlineLevel="0" r="157">
      <c r="A157" s="1" t="s">
        <v>22</v>
      </c>
      <c r="B157" s="1" t="s">
        <v>23</v>
      </c>
      <c r="C157" s="1" t="s">
        <v>24</v>
      </c>
      <c r="D157" s="3">
        <v>43132</v>
      </c>
      <c r="E157" s="1" t="s">
        <v>10</v>
      </c>
      <c r="F157" s="1" t="s">
        <v>11</v>
      </c>
      <c r="G157" s="1">
        <v>306031993012</v>
      </c>
    </row>
    <row ht="13.8" outlineLevel="0" r="158">
      <c r="A158" s="1" t="s">
        <v>25</v>
      </c>
      <c r="B158" s="1" t="s">
        <v>23</v>
      </c>
      <c r="C158" s="1" t="s">
        <v>24</v>
      </c>
      <c r="D158" s="3">
        <v>43132</v>
      </c>
      <c r="E158" s="1" t="s">
        <v>10</v>
      </c>
      <c r="F158" s="1" t="s">
        <v>11</v>
      </c>
      <c r="G158" s="1">
        <v>1106553935431</v>
      </c>
    </row>
    <row ht="13.8" outlineLevel="0" r="159">
      <c r="A159" s="1" t="s">
        <v>22</v>
      </c>
      <c r="B159" s="1" t="s">
        <v>23</v>
      </c>
      <c r="C159" s="1" t="s">
        <v>24</v>
      </c>
      <c r="D159" s="3">
        <v>43132</v>
      </c>
      <c r="E159" s="1" t="s">
        <v>14</v>
      </c>
      <c r="F159" s="1" t="s">
        <v>15</v>
      </c>
      <c r="G159" s="1">
        <v>72762414357.64</v>
      </c>
    </row>
    <row ht="13.8" outlineLevel="0" r="160">
      <c r="A160" s="1" t="s">
        <v>25</v>
      </c>
      <c r="B160" s="1" t="s">
        <v>23</v>
      </c>
      <c r="C160" s="1" t="s">
        <v>24</v>
      </c>
      <c r="D160" s="3">
        <v>43132</v>
      </c>
      <c r="E160" s="1" t="s">
        <v>14</v>
      </c>
      <c r="F160" s="1" t="s">
        <v>15</v>
      </c>
      <c r="G160" s="1">
        <v>549182382514.18</v>
      </c>
    </row>
    <row ht="13.8" outlineLevel="0" r="161">
      <c r="A161" s="1" t="s">
        <v>22</v>
      </c>
      <c r="B161" s="1" t="s">
        <v>23</v>
      </c>
      <c r="C161" s="1" t="s">
        <v>24</v>
      </c>
      <c r="D161" s="3">
        <v>43132</v>
      </c>
      <c r="E161" s="1" t="s">
        <v>16</v>
      </c>
      <c r="F161" s="1" t="s">
        <v>17</v>
      </c>
      <c r="G161" s="1">
        <v>71508502400.44</v>
      </c>
    </row>
    <row ht="13.8" outlineLevel="0" r="162">
      <c r="A162" s="1" t="s">
        <v>25</v>
      </c>
      <c r="B162" s="1" t="s">
        <v>23</v>
      </c>
      <c r="C162" s="1" t="s">
        <v>24</v>
      </c>
      <c r="D162" s="3">
        <v>43132</v>
      </c>
      <c r="E162" s="1" t="s">
        <v>16</v>
      </c>
      <c r="F162" s="1" t="s">
        <v>17</v>
      </c>
      <c r="G162" s="1">
        <v>139906687395.64</v>
      </c>
    </row>
    <row ht="13.8" outlineLevel="0" r="163">
      <c r="A163" s="1" t="s">
        <v>22</v>
      </c>
      <c r="B163" s="1" t="s">
        <v>23</v>
      </c>
      <c r="C163" s="1" t="s">
        <v>24</v>
      </c>
      <c r="D163" s="3">
        <v>43132</v>
      </c>
      <c r="E163" s="1" t="s">
        <v>18</v>
      </c>
      <c r="F163" s="1" t="s">
        <v>19</v>
      </c>
      <c r="G163" s="1">
        <v>71508502400.44</v>
      </c>
    </row>
    <row ht="13.8" outlineLevel="0" r="164">
      <c r="A164" s="1" t="s">
        <v>25</v>
      </c>
      <c r="B164" s="1" t="s">
        <v>23</v>
      </c>
      <c r="C164" s="1" t="s">
        <v>24</v>
      </c>
      <c r="D164" s="3">
        <v>43132</v>
      </c>
      <c r="E164" s="1" t="s">
        <v>18</v>
      </c>
      <c r="F164" s="1" t="s">
        <v>19</v>
      </c>
      <c r="G164" s="1">
        <v>139906687395.64</v>
      </c>
    </row>
    <row ht="13.8" outlineLevel="0" r="165">
      <c r="A165" s="1" t="s">
        <v>22</v>
      </c>
      <c r="B165" s="1" t="s">
        <v>23</v>
      </c>
      <c r="C165" s="1" t="s">
        <v>24</v>
      </c>
      <c r="D165" s="3">
        <v>43160</v>
      </c>
      <c r="E165" s="1" t="s">
        <v>10</v>
      </c>
      <c r="F165" s="1" t="s">
        <v>11</v>
      </c>
      <c r="G165" s="1">
        <v>306031993012</v>
      </c>
    </row>
    <row ht="13.8" outlineLevel="0" r="166">
      <c r="A166" s="1" t="s">
        <v>25</v>
      </c>
      <c r="B166" s="1" t="s">
        <v>23</v>
      </c>
      <c r="C166" s="1" t="s">
        <v>24</v>
      </c>
      <c r="D166" s="3">
        <v>43160</v>
      </c>
      <c r="E166" s="1" t="s">
        <v>10</v>
      </c>
      <c r="F166" s="1" t="s">
        <v>11</v>
      </c>
      <c r="G166" s="1">
        <v>1106553935431</v>
      </c>
    </row>
    <row ht="13.8" outlineLevel="0" r="167">
      <c r="A167" s="1" t="s">
        <v>22</v>
      </c>
      <c r="B167" s="1" t="s">
        <v>23</v>
      </c>
      <c r="C167" s="1" t="s">
        <v>24</v>
      </c>
      <c r="D167" s="3">
        <v>43160</v>
      </c>
      <c r="E167" s="1" t="s">
        <v>14</v>
      </c>
      <c r="F167" s="1" t="s">
        <v>15</v>
      </c>
      <c r="G167" s="1">
        <v>234984564687.64</v>
      </c>
    </row>
    <row ht="13.8" outlineLevel="0" r="168">
      <c r="A168" s="1" t="s">
        <v>25</v>
      </c>
      <c r="B168" s="1" t="s">
        <v>23</v>
      </c>
      <c r="C168" s="1" t="s">
        <v>24</v>
      </c>
      <c r="D168" s="3">
        <v>43160</v>
      </c>
      <c r="E168" s="1" t="s">
        <v>14</v>
      </c>
      <c r="F168" s="1" t="s">
        <v>15</v>
      </c>
      <c r="G168" s="1">
        <v>549772493390.62</v>
      </c>
    </row>
    <row ht="13.8" outlineLevel="0" r="169">
      <c r="A169" s="1" t="s">
        <v>22</v>
      </c>
      <c r="B169" s="1" t="s">
        <v>23</v>
      </c>
      <c r="C169" s="1" t="s">
        <v>24</v>
      </c>
      <c r="D169" s="3">
        <v>43160</v>
      </c>
      <c r="E169" s="1" t="s">
        <v>16</v>
      </c>
      <c r="F169" s="1" t="s">
        <v>17</v>
      </c>
      <c r="G169" s="1">
        <v>76855465555.81</v>
      </c>
    </row>
    <row ht="13.8" outlineLevel="0" r="170">
      <c r="A170" s="1" t="s">
        <v>25</v>
      </c>
      <c r="B170" s="1" t="s">
        <v>23</v>
      </c>
      <c r="C170" s="1" t="s">
        <v>24</v>
      </c>
      <c r="D170" s="3">
        <v>43160</v>
      </c>
      <c r="E170" s="1" t="s">
        <v>16</v>
      </c>
      <c r="F170" s="1" t="s">
        <v>17</v>
      </c>
      <c r="G170" s="1">
        <v>175036961187.25</v>
      </c>
    </row>
    <row ht="13.8" outlineLevel="0" r="171">
      <c r="A171" s="1" t="s">
        <v>22</v>
      </c>
      <c r="B171" s="1" t="s">
        <v>23</v>
      </c>
      <c r="C171" s="1" t="s">
        <v>24</v>
      </c>
      <c r="D171" s="3">
        <v>43160</v>
      </c>
      <c r="E171" s="1" t="s">
        <v>18</v>
      </c>
      <c r="F171" s="1" t="s">
        <v>19</v>
      </c>
      <c r="G171" s="1">
        <v>76855465555.81</v>
      </c>
    </row>
    <row ht="13.8" outlineLevel="0" r="172">
      <c r="A172" s="1" t="s">
        <v>25</v>
      </c>
      <c r="B172" s="1" t="s">
        <v>23</v>
      </c>
      <c r="C172" s="1" t="s">
        <v>24</v>
      </c>
      <c r="D172" s="3">
        <v>43160</v>
      </c>
      <c r="E172" s="1" t="s">
        <v>18</v>
      </c>
      <c r="F172" s="1" t="s">
        <v>19</v>
      </c>
      <c r="G172" s="1">
        <v>175036961187.25</v>
      </c>
    </row>
    <row ht="13.8" outlineLevel="0" r="173">
      <c r="A173" s="1" t="s">
        <v>22</v>
      </c>
      <c r="B173" s="1" t="s">
        <v>23</v>
      </c>
      <c r="C173" s="1" t="s">
        <v>24</v>
      </c>
      <c r="D173" s="3">
        <v>43191</v>
      </c>
      <c r="E173" s="1" t="s">
        <v>10</v>
      </c>
      <c r="F173" s="1" t="s">
        <v>11</v>
      </c>
      <c r="G173" s="1">
        <v>323004470012</v>
      </c>
    </row>
    <row ht="13.8" outlineLevel="0" r="174">
      <c r="A174" s="1" t="s">
        <v>25</v>
      </c>
      <c r="B174" s="1" t="s">
        <v>23</v>
      </c>
      <c r="C174" s="1" t="s">
        <v>24</v>
      </c>
      <c r="D174" s="3">
        <v>43191</v>
      </c>
      <c r="E174" s="1" t="s">
        <v>10</v>
      </c>
      <c r="F174" s="1" t="s">
        <v>11</v>
      </c>
      <c r="G174" s="1">
        <v>1089581458431</v>
      </c>
    </row>
    <row ht="13.8" outlineLevel="0" r="175">
      <c r="A175" s="1" t="s">
        <v>22</v>
      </c>
      <c r="B175" s="1" t="s">
        <v>23</v>
      </c>
      <c r="C175" s="1" t="s">
        <v>24</v>
      </c>
      <c r="D175" s="3">
        <v>43191</v>
      </c>
      <c r="E175" s="1" t="s">
        <v>14</v>
      </c>
      <c r="F175" s="1" t="s">
        <v>15</v>
      </c>
      <c r="G175" s="1">
        <v>249940377550.84</v>
      </c>
    </row>
    <row ht="13.8" outlineLevel="0" r="176">
      <c r="A176" s="1" t="s">
        <v>25</v>
      </c>
      <c r="B176" s="1" t="s">
        <v>23</v>
      </c>
      <c r="C176" s="1" t="s">
        <v>24</v>
      </c>
      <c r="D176" s="3">
        <v>43191</v>
      </c>
      <c r="E176" s="1" t="s">
        <v>14</v>
      </c>
      <c r="F176" s="1" t="s">
        <v>15</v>
      </c>
      <c r="G176" s="1">
        <v>549973214378.5</v>
      </c>
    </row>
    <row ht="13.8" outlineLevel="0" r="177">
      <c r="A177" s="1" t="s">
        <v>22</v>
      </c>
      <c r="B177" s="1" t="s">
        <v>23</v>
      </c>
      <c r="C177" s="1" t="s">
        <v>24</v>
      </c>
      <c r="D177" s="3">
        <v>43191</v>
      </c>
      <c r="E177" s="1" t="s">
        <v>16</v>
      </c>
      <c r="F177" s="1" t="s">
        <v>17</v>
      </c>
      <c r="G177" s="1">
        <v>124858493322.31</v>
      </c>
    </row>
    <row ht="13.8" outlineLevel="0" r="178">
      <c r="A178" s="1" t="s">
        <v>25</v>
      </c>
      <c r="B178" s="1" t="s">
        <v>23</v>
      </c>
      <c r="C178" s="1" t="s">
        <v>24</v>
      </c>
      <c r="D178" s="3">
        <v>43191</v>
      </c>
      <c r="E178" s="1" t="s">
        <v>16</v>
      </c>
      <c r="F178" s="1" t="s">
        <v>17</v>
      </c>
      <c r="G178" s="1">
        <v>226802330980.94</v>
      </c>
    </row>
    <row ht="13.8" outlineLevel="0" r="179">
      <c r="A179" s="1" t="s">
        <v>22</v>
      </c>
      <c r="B179" s="1" t="s">
        <v>23</v>
      </c>
      <c r="C179" s="1" t="s">
        <v>24</v>
      </c>
      <c r="D179" s="3">
        <v>43191</v>
      </c>
      <c r="E179" s="1" t="s">
        <v>18</v>
      </c>
      <c r="F179" s="1" t="s">
        <v>19</v>
      </c>
      <c r="G179" s="1">
        <v>124858493322.31</v>
      </c>
    </row>
    <row ht="13.8" outlineLevel="0" r="180">
      <c r="A180" s="1" t="s">
        <v>25</v>
      </c>
      <c r="B180" s="1" t="s">
        <v>23</v>
      </c>
      <c r="C180" s="1" t="s">
        <v>24</v>
      </c>
      <c r="D180" s="3">
        <v>43191</v>
      </c>
      <c r="E180" s="1" t="s">
        <v>18</v>
      </c>
      <c r="F180" s="1" t="s">
        <v>19</v>
      </c>
      <c r="G180" s="1">
        <v>226802330980.94</v>
      </c>
    </row>
    <row ht="13.8" outlineLevel="0" r="181">
      <c r="A181" s="1" t="s">
        <v>22</v>
      </c>
      <c r="B181" s="1" t="s">
        <v>23</v>
      </c>
      <c r="C181" s="1" t="s">
        <v>24</v>
      </c>
      <c r="D181" s="3">
        <v>43221</v>
      </c>
      <c r="E181" s="1" t="s">
        <v>10</v>
      </c>
      <c r="F181" s="1" t="s">
        <v>11</v>
      </c>
      <c r="G181" s="1">
        <v>340386933815</v>
      </c>
    </row>
    <row ht="13.8" outlineLevel="0" r="182">
      <c r="A182" s="1" t="s">
        <v>25</v>
      </c>
      <c r="B182" s="1" t="s">
        <v>23</v>
      </c>
      <c r="C182" s="1" t="s">
        <v>24</v>
      </c>
      <c r="D182" s="3">
        <v>43221</v>
      </c>
      <c r="E182" s="1" t="s">
        <v>10</v>
      </c>
      <c r="F182" s="1" t="s">
        <v>11</v>
      </c>
      <c r="G182" s="1">
        <v>1072238994628</v>
      </c>
    </row>
    <row ht="13.8" outlineLevel="0" r="183">
      <c r="A183" s="1" t="s">
        <v>22</v>
      </c>
      <c r="B183" s="1" t="s">
        <v>23</v>
      </c>
      <c r="C183" s="1" t="s">
        <v>24</v>
      </c>
      <c r="D183" s="3">
        <v>43221</v>
      </c>
      <c r="E183" s="1" t="s">
        <v>14</v>
      </c>
      <c r="F183" s="1" t="s">
        <v>15</v>
      </c>
      <c r="G183" s="1">
        <v>284295550353.84</v>
      </c>
    </row>
    <row ht="13.8" outlineLevel="0" r="184">
      <c r="A184" s="1" t="s">
        <v>25</v>
      </c>
      <c r="B184" s="1" t="s">
        <v>23</v>
      </c>
      <c r="C184" s="1" t="s">
        <v>24</v>
      </c>
      <c r="D184" s="3">
        <v>43221</v>
      </c>
      <c r="E184" s="1" t="s">
        <v>14</v>
      </c>
      <c r="F184" s="1" t="s">
        <v>15</v>
      </c>
      <c r="G184" s="1">
        <v>551150019495.56</v>
      </c>
    </row>
    <row ht="13.8" outlineLevel="0" r="185">
      <c r="A185" s="1" t="s">
        <v>22</v>
      </c>
      <c r="B185" s="1" t="s">
        <v>23</v>
      </c>
      <c r="C185" s="1" t="s">
        <v>24</v>
      </c>
      <c r="D185" s="3">
        <v>43221</v>
      </c>
      <c r="E185" s="1" t="s">
        <v>16</v>
      </c>
      <c r="F185" s="1" t="s">
        <v>17</v>
      </c>
      <c r="G185" s="1">
        <v>124906486065.8</v>
      </c>
    </row>
    <row ht="13.8" outlineLevel="0" r="186">
      <c r="A186" s="1" t="s">
        <v>25</v>
      </c>
      <c r="B186" s="1" t="s">
        <v>23</v>
      </c>
      <c r="C186" s="1" t="s">
        <v>24</v>
      </c>
      <c r="D186" s="3">
        <v>43221</v>
      </c>
      <c r="E186" s="1" t="s">
        <v>16</v>
      </c>
      <c r="F186" s="1" t="s">
        <v>17</v>
      </c>
      <c r="G186" s="1">
        <v>230741755403.72</v>
      </c>
    </row>
    <row ht="13.8" outlineLevel="0" r="187">
      <c r="A187" s="1" t="s">
        <v>22</v>
      </c>
      <c r="B187" s="1" t="s">
        <v>23</v>
      </c>
      <c r="C187" s="1" t="s">
        <v>24</v>
      </c>
      <c r="D187" s="3">
        <v>43221</v>
      </c>
      <c r="E187" s="1" t="s">
        <v>18</v>
      </c>
      <c r="F187" s="1" t="s">
        <v>19</v>
      </c>
      <c r="G187" s="1">
        <v>124906486065.8</v>
      </c>
    </row>
    <row ht="13.8" outlineLevel="0" r="188">
      <c r="A188" s="1" t="s">
        <v>25</v>
      </c>
      <c r="B188" s="1" t="s">
        <v>23</v>
      </c>
      <c r="C188" s="1" t="s">
        <v>24</v>
      </c>
      <c r="D188" s="3">
        <v>43221</v>
      </c>
      <c r="E188" s="1" t="s">
        <v>18</v>
      </c>
      <c r="F188" s="1" t="s">
        <v>19</v>
      </c>
      <c r="G188" s="1">
        <v>230741755403.72</v>
      </c>
    </row>
    <row ht="13.8" outlineLevel="0" r="189">
      <c r="A189" s="1" t="s">
        <v>22</v>
      </c>
      <c r="B189" s="1" t="s">
        <v>23</v>
      </c>
      <c r="C189" s="1" t="s">
        <v>24</v>
      </c>
      <c r="D189" s="3">
        <v>43252</v>
      </c>
      <c r="E189" s="1" t="s">
        <v>10</v>
      </c>
      <c r="F189" s="1" t="s">
        <v>11</v>
      </c>
      <c r="G189" s="1">
        <v>370668206906.87</v>
      </c>
    </row>
    <row ht="13.8" outlineLevel="0" r="190">
      <c r="A190" s="1" t="s">
        <v>25</v>
      </c>
      <c r="B190" s="1" t="s">
        <v>23</v>
      </c>
      <c r="C190" s="1" t="s">
        <v>24</v>
      </c>
      <c r="D190" s="3">
        <v>43252</v>
      </c>
      <c r="E190" s="1" t="s">
        <v>10</v>
      </c>
      <c r="F190" s="1" t="s">
        <v>11</v>
      </c>
      <c r="G190" s="1">
        <v>1041957721536.13</v>
      </c>
    </row>
    <row ht="13.8" outlineLevel="0" r="191">
      <c r="A191" s="1" t="s">
        <v>22</v>
      </c>
      <c r="B191" s="1" t="s">
        <v>23</v>
      </c>
      <c r="C191" s="1" t="s">
        <v>24</v>
      </c>
      <c r="D191" s="3">
        <v>43252</v>
      </c>
      <c r="E191" s="1" t="s">
        <v>14</v>
      </c>
      <c r="F191" s="1" t="s">
        <v>15</v>
      </c>
      <c r="G191" s="1">
        <v>315844680989.75</v>
      </c>
    </row>
    <row ht="13.8" outlineLevel="0" r="192">
      <c r="A192" s="1" t="s">
        <v>25</v>
      </c>
      <c r="B192" s="1" t="s">
        <v>23</v>
      </c>
      <c r="C192" s="1" t="s">
        <v>24</v>
      </c>
      <c r="D192" s="3">
        <v>43252</v>
      </c>
      <c r="E192" s="1" t="s">
        <v>14</v>
      </c>
      <c r="F192" s="1" t="s">
        <v>15</v>
      </c>
      <c r="G192" s="1">
        <v>683446907471.73</v>
      </c>
    </row>
    <row ht="13.8" outlineLevel="0" r="193">
      <c r="A193" s="1" t="s">
        <v>22</v>
      </c>
      <c r="B193" s="1" t="s">
        <v>23</v>
      </c>
      <c r="C193" s="1" t="s">
        <v>24</v>
      </c>
      <c r="D193" s="3">
        <v>43252</v>
      </c>
      <c r="E193" s="1" t="s">
        <v>16</v>
      </c>
      <c r="F193" s="1" t="s">
        <v>17</v>
      </c>
      <c r="G193" s="1">
        <v>137951645158.04</v>
      </c>
    </row>
    <row ht="13.8" outlineLevel="0" r="194">
      <c r="A194" s="1" t="s">
        <v>25</v>
      </c>
      <c r="B194" s="1" t="s">
        <v>23</v>
      </c>
      <c r="C194" s="1" t="s">
        <v>24</v>
      </c>
      <c r="D194" s="3">
        <v>43252</v>
      </c>
      <c r="E194" s="1" t="s">
        <v>16</v>
      </c>
      <c r="F194" s="1" t="s">
        <v>17</v>
      </c>
      <c r="G194" s="1">
        <v>241097242441.43</v>
      </c>
    </row>
    <row ht="13.8" outlineLevel="0" r="195">
      <c r="A195" s="1" t="s">
        <v>22</v>
      </c>
      <c r="B195" s="1" t="s">
        <v>23</v>
      </c>
      <c r="C195" s="1" t="s">
        <v>24</v>
      </c>
      <c r="D195" s="3">
        <v>43252</v>
      </c>
      <c r="E195" s="1" t="s">
        <v>18</v>
      </c>
      <c r="F195" s="1" t="s">
        <v>19</v>
      </c>
      <c r="G195" s="1">
        <v>137951645158.04</v>
      </c>
    </row>
    <row ht="13.8" outlineLevel="0" r="196">
      <c r="A196" s="1" t="s">
        <v>25</v>
      </c>
      <c r="B196" s="1" t="s">
        <v>23</v>
      </c>
      <c r="C196" s="1" t="s">
        <v>24</v>
      </c>
      <c r="D196" s="3">
        <v>43252</v>
      </c>
      <c r="E196" s="1" t="s">
        <v>18</v>
      </c>
      <c r="F196" s="1" t="s">
        <v>19</v>
      </c>
      <c r="G196" s="1">
        <v>241097242441.43</v>
      </c>
    </row>
    <row ht="13.8" outlineLevel="0" r="197">
      <c r="A197" s="1" t="s">
        <v>22</v>
      </c>
      <c r="B197" s="1" t="s">
        <v>23</v>
      </c>
      <c r="C197" s="1" t="s">
        <v>24</v>
      </c>
      <c r="D197" s="3">
        <v>43282</v>
      </c>
      <c r="E197" s="1" t="s">
        <v>10</v>
      </c>
      <c r="F197" s="1" t="s">
        <v>11</v>
      </c>
      <c r="G197" s="1">
        <v>370647706906.87</v>
      </c>
    </row>
    <row ht="13.8" outlineLevel="0" r="198">
      <c r="A198" s="1" t="s">
        <v>25</v>
      </c>
      <c r="B198" s="1" t="s">
        <v>23</v>
      </c>
      <c r="C198" s="1" t="s">
        <v>24</v>
      </c>
      <c r="D198" s="3">
        <v>43282</v>
      </c>
      <c r="E198" s="1" t="s">
        <v>10</v>
      </c>
      <c r="F198" s="1" t="s">
        <v>11</v>
      </c>
      <c r="G198" s="1">
        <v>1041978221536.13</v>
      </c>
    </row>
    <row ht="13.8" outlineLevel="0" r="199">
      <c r="A199" s="1" t="s">
        <v>22</v>
      </c>
      <c r="B199" s="1" t="s">
        <v>23</v>
      </c>
      <c r="C199" s="1" t="s">
        <v>24</v>
      </c>
      <c r="D199" s="3">
        <v>43282</v>
      </c>
      <c r="E199" s="1" t="s">
        <v>14</v>
      </c>
      <c r="F199" s="1" t="s">
        <v>15</v>
      </c>
      <c r="G199" s="1">
        <v>317468057799.52</v>
      </c>
    </row>
    <row ht="13.8" outlineLevel="0" r="200">
      <c r="A200" s="1" t="s">
        <v>25</v>
      </c>
      <c r="B200" s="1" t="s">
        <v>23</v>
      </c>
      <c r="C200" s="1" t="s">
        <v>24</v>
      </c>
      <c r="D200" s="3">
        <v>43282</v>
      </c>
      <c r="E200" s="1" t="s">
        <v>14</v>
      </c>
      <c r="F200" s="1" t="s">
        <v>15</v>
      </c>
      <c r="G200" s="1">
        <v>683879640607.93</v>
      </c>
    </row>
    <row ht="13.8" outlineLevel="0" r="201">
      <c r="A201" s="1" t="s">
        <v>22</v>
      </c>
      <c r="B201" s="1" t="s">
        <v>23</v>
      </c>
      <c r="C201" s="1" t="s">
        <v>24</v>
      </c>
      <c r="D201" s="3">
        <v>43282</v>
      </c>
      <c r="E201" s="1" t="s">
        <v>16</v>
      </c>
      <c r="F201" s="1" t="s">
        <v>17</v>
      </c>
      <c r="G201" s="1">
        <v>218331146035.73</v>
      </c>
    </row>
    <row ht="13.8" outlineLevel="0" r="202">
      <c r="A202" s="1" t="s">
        <v>25</v>
      </c>
      <c r="B202" s="1" t="s">
        <v>23</v>
      </c>
      <c r="C202" s="1" t="s">
        <v>24</v>
      </c>
      <c r="D202" s="3">
        <v>43282</v>
      </c>
      <c r="E202" s="1" t="s">
        <v>16</v>
      </c>
      <c r="F202" s="1" t="s">
        <v>17</v>
      </c>
      <c r="G202" s="1">
        <v>277121052161.03</v>
      </c>
    </row>
    <row ht="13.8" outlineLevel="0" r="203">
      <c r="A203" s="1" t="s">
        <v>22</v>
      </c>
      <c r="B203" s="1" t="s">
        <v>23</v>
      </c>
      <c r="C203" s="1" t="s">
        <v>24</v>
      </c>
      <c r="D203" s="3">
        <v>43282</v>
      </c>
      <c r="E203" s="1" t="s">
        <v>18</v>
      </c>
      <c r="F203" s="1" t="s">
        <v>19</v>
      </c>
      <c r="G203" s="1">
        <v>218331146035.73</v>
      </c>
    </row>
    <row ht="13.8" outlineLevel="0" r="204">
      <c r="A204" s="1" t="s">
        <v>25</v>
      </c>
      <c r="B204" s="1" t="s">
        <v>23</v>
      </c>
      <c r="C204" s="1" t="s">
        <v>24</v>
      </c>
      <c r="D204" s="3">
        <v>43282</v>
      </c>
      <c r="E204" s="1" t="s">
        <v>18</v>
      </c>
      <c r="F204" s="1" t="s">
        <v>19</v>
      </c>
      <c r="G204" s="1">
        <v>277121052161.03</v>
      </c>
    </row>
    <row ht="13.8" outlineLevel="0" r="205">
      <c r="A205" s="1" t="s">
        <v>22</v>
      </c>
      <c r="B205" s="1" t="s">
        <v>23</v>
      </c>
      <c r="C205" s="1" t="s">
        <v>24</v>
      </c>
      <c r="D205" s="3">
        <v>43313</v>
      </c>
      <c r="E205" s="1" t="s">
        <v>10</v>
      </c>
      <c r="F205" s="1" t="s">
        <v>11</v>
      </c>
      <c r="G205" s="1">
        <v>370546775988.87</v>
      </c>
    </row>
    <row ht="13.8" outlineLevel="0" r="206">
      <c r="A206" s="1" t="s">
        <v>25</v>
      </c>
      <c r="B206" s="1" t="s">
        <v>23</v>
      </c>
      <c r="C206" s="1" t="s">
        <v>24</v>
      </c>
      <c r="D206" s="3">
        <v>43313</v>
      </c>
      <c r="E206" s="1" t="s">
        <v>10</v>
      </c>
      <c r="F206" s="1" t="s">
        <v>11</v>
      </c>
      <c r="G206" s="1">
        <v>1042079152454.13</v>
      </c>
    </row>
    <row ht="13.8" outlineLevel="0" r="207">
      <c r="A207" s="1" t="s">
        <v>22</v>
      </c>
      <c r="B207" s="1" t="s">
        <v>23</v>
      </c>
      <c r="C207" s="1" t="s">
        <v>24</v>
      </c>
      <c r="D207" s="3">
        <v>43313</v>
      </c>
      <c r="E207" s="1" t="s">
        <v>14</v>
      </c>
      <c r="F207" s="1" t="s">
        <v>15</v>
      </c>
      <c r="G207" s="1">
        <v>330638574073.87</v>
      </c>
    </row>
    <row ht="13.8" outlineLevel="0" r="208">
      <c r="A208" s="1" t="s">
        <v>25</v>
      </c>
      <c r="B208" s="1" t="s">
        <v>23</v>
      </c>
      <c r="C208" s="1" t="s">
        <v>24</v>
      </c>
      <c r="D208" s="3">
        <v>43313</v>
      </c>
      <c r="E208" s="1" t="s">
        <v>14</v>
      </c>
      <c r="F208" s="1" t="s">
        <v>15</v>
      </c>
      <c r="G208" s="1">
        <v>684541277025.85</v>
      </c>
    </row>
    <row ht="13.8" outlineLevel="0" r="209">
      <c r="A209" s="1" t="s">
        <v>22</v>
      </c>
      <c r="B209" s="1" t="s">
        <v>23</v>
      </c>
      <c r="C209" s="1" t="s">
        <v>24</v>
      </c>
      <c r="D209" s="3">
        <v>43313</v>
      </c>
      <c r="E209" s="1" t="s">
        <v>16</v>
      </c>
      <c r="F209" s="1" t="s">
        <v>17</v>
      </c>
      <c r="G209" s="1">
        <v>284365105681.33</v>
      </c>
    </row>
    <row ht="13.8" outlineLevel="0" r="210">
      <c r="A210" s="1" t="s">
        <v>25</v>
      </c>
      <c r="B210" s="1" t="s">
        <v>23</v>
      </c>
      <c r="C210" s="1" t="s">
        <v>24</v>
      </c>
      <c r="D210" s="3">
        <v>43313</v>
      </c>
      <c r="E210" s="1" t="s">
        <v>16</v>
      </c>
      <c r="F210" s="1" t="s">
        <v>17</v>
      </c>
      <c r="G210" s="1">
        <v>313015611190.65</v>
      </c>
    </row>
    <row ht="13.8" outlineLevel="0" r="211">
      <c r="A211" s="1" t="s">
        <v>22</v>
      </c>
      <c r="B211" s="1" t="s">
        <v>23</v>
      </c>
      <c r="C211" s="1" t="s">
        <v>24</v>
      </c>
      <c r="D211" s="3">
        <v>43313</v>
      </c>
      <c r="E211" s="1" t="s">
        <v>18</v>
      </c>
      <c r="F211" s="1" t="s">
        <v>19</v>
      </c>
      <c r="G211" s="1">
        <v>284365105681.33</v>
      </c>
    </row>
    <row ht="13.8" outlineLevel="0" r="212">
      <c r="A212" s="1" t="s">
        <v>25</v>
      </c>
      <c r="B212" s="1" t="s">
        <v>23</v>
      </c>
      <c r="C212" s="1" t="s">
        <v>24</v>
      </c>
      <c r="D212" s="3">
        <v>43313</v>
      </c>
      <c r="E212" s="1" t="s">
        <v>18</v>
      </c>
      <c r="F212" s="1" t="s">
        <v>19</v>
      </c>
      <c r="G212" s="1">
        <v>313015611190.65</v>
      </c>
    </row>
    <row ht="13.8" outlineLevel="0" r="213">
      <c r="A213" s="1" t="s">
        <v>22</v>
      </c>
      <c r="B213" s="1" t="s">
        <v>23</v>
      </c>
      <c r="C213" s="1" t="s">
        <v>24</v>
      </c>
      <c r="D213" s="3">
        <v>43344</v>
      </c>
      <c r="E213" s="1" t="s">
        <v>10</v>
      </c>
      <c r="F213" s="1" t="s">
        <v>11</v>
      </c>
      <c r="G213" s="1">
        <v>370646775988.87</v>
      </c>
    </row>
    <row ht="13.8" outlineLevel="0" r="214">
      <c r="A214" s="1" t="s">
        <v>25</v>
      </c>
      <c r="B214" s="1" t="s">
        <v>23</v>
      </c>
      <c r="C214" s="1" t="s">
        <v>24</v>
      </c>
      <c r="D214" s="3">
        <v>43344</v>
      </c>
      <c r="E214" s="1" t="s">
        <v>10</v>
      </c>
      <c r="F214" s="1" t="s">
        <v>11</v>
      </c>
      <c r="G214" s="1">
        <v>1041979152454.13</v>
      </c>
    </row>
    <row ht="13.8" outlineLevel="0" r="215">
      <c r="A215" s="1" t="s">
        <v>22</v>
      </c>
      <c r="B215" s="1" t="s">
        <v>23</v>
      </c>
      <c r="C215" s="1" t="s">
        <v>24</v>
      </c>
      <c r="D215" s="3">
        <v>43344</v>
      </c>
      <c r="E215" s="1" t="s">
        <v>14</v>
      </c>
      <c r="F215" s="1" t="s">
        <v>15</v>
      </c>
      <c r="G215" s="1">
        <v>330638574073.87</v>
      </c>
    </row>
    <row ht="13.8" outlineLevel="0" r="216">
      <c r="A216" s="1" t="s">
        <v>25</v>
      </c>
      <c r="B216" s="1" t="s">
        <v>23</v>
      </c>
      <c r="C216" s="1" t="s">
        <v>24</v>
      </c>
      <c r="D216" s="3">
        <v>43344</v>
      </c>
      <c r="E216" s="1" t="s">
        <v>14</v>
      </c>
      <c r="F216" s="1" t="s">
        <v>15</v>
      </c>
      <c r="G216" s="1">
        <v>684909726679.76</v>
      </c>
    </row>
    <row ht="13.8" outlineLevel="0" r="217">
      <c r="A217" s="1" t="s">
        <v>22</v>
      </c>
      <c r="B217" s="1" t="s">
        <v>23</v>
      </c>
      <c r="C217" s="1" t="s">
        <v>24</v>
      </c>
      <c r="D217" s="3">
        <v>43344</v>
      </c>
      <c r="E217" s="1" t="s">
        <v>16</v>
      </c>
      <c r="F217" s="1" t="s">
        <v>17</v>
      </c>
      <c r="G217" s="1">
        <v>321900264452.41</v>
      </c>
    </row>
    <row ht="13.8" outlineLevel="0" r="218">
      <c r="A218" s="1" t="s">
        <v>25</v>
      </c>
      <c r="B218" s="1" t="s">
        <v>23</v>
      </c>
      <c r="C218" s="1" t="s">
        <v>24</v>
      </c>
      <c r="D218" s="3">
        <v>43344</v>
      </c>
      <c r="E218" s="1" t="s">
        <v>16</v>
      </c>
      <c r="F218" s="1" t="s">
        <v>17</v>
      </c>
      <c r="G218" s="1">
        <v>341447420209.86</v>
      </c>
    </row>
    <row ht="13.8" outlineLevel="0" r="219">
      <c r="A219" s="1" t="s">
        <v>22</v>
      </c>
      <c r="B219" s="1" t="s">
        <v>23</v>
      </c>
      <c r="C219" s="1" t="s">
        <v>24</v>
      </c>
      <c r="D219" s="3">
        <v>43344</v>
      </c>
      <c r="E219" s="1" t="s">
        <v>18</v>
      </c>
      <c r="F219" s="1" t="s">
        <v>19</v>
      </c>
      <c r="G219" s="1">
        <v>321900264452.41</v>
      </c>
    </row>
    <row ht="13.8" outlineLevel="0" r="220">
      <c r="A220" s="1" t="s">
        <v>25</v>
      </c>
      <c r="B220" s="1" t="s">
        <v>23</v>
      </c>
      <c r="C220" s="1" t="s">
        <v>24</v>
      </c>
      <c r="D220" s="3">
        <v>43344</v>
      </c>
      <c r="E220" s="1" t="s">
        <v>18</v>
      </c>
      <c r="F220" s="1" t="s">
        <v>19</v>
      </c>
      <c r="G220" s="1">
        <v>341447420209.86</v>
      </c>
    </row>
    <row ht="13.8" outlineLevel="0" r="221">
      <c r="A221" s="1" t="s">
        <v>22</v>
      </c>
      <c r="B221" s="1" t="s">
        <v>23</v>
      </c>
      <c r="C221" s="1" t="s">
        <v>24</v>
      </c>
      <c r="D221" s="3">
        <v>43374</v>
      </c>
      <c r="E221" s="1" t="s">
        <v>10</v>
      </c>
      <c r="F221" s="1" t="s">
        <v>11</v>
      </c>
      <c r="G221" s="1">
        <v>370646775988.87</v>
      </c>
    </row>
    <row ht="13.8" outlineLevel="0" r="222">
      <c r="A222" s="1" t="s">
        <v>25</v>
      </c>
      <c r="B222" s="1" t="s">
        <v>23</v>
      </c>
      <c r="C222" s="1" t="s">
        <v>24</v>
      </c>
      <c r="D222" s="3">
        <v>43374</v>
      </c>
      <c r="E222" s="1" t="s">
        <v>10</v>
      </c>
      <c r="F222" s="1" t="s">
        <v>11</v>
      </c>
      <c r="G222" s="1">
        <v>1041979152454.13</v>
      </c>
    </row>
    <row ht="13.8" outlineLevel="0" r="223">
      <c r="A223" s="1" t="s">
        <v>22</v>
      </c>
      <c r="B223" s="1" t="s">
        <v>23</v>
      </c>
      <c r="C223" s="1" t="s">
        <v>24</v>
      </c>
      <c r="D223" s="3">
        <v>43374</v>
      </c>
      <c r="E223" s="1" t="s">
        <v>14</v>
      </c>
      <c r="F223" s="1" t="s">
        <v>15</v>
      </c>
      <c r="G223" s="1">
        <v>341469352730.38</v>
      </c>
    </row>
    <row ht="13.8" outlineLevel="0" r="224">
      <c r="A224" s="1" t="s">
        <v>25</v>
      </c>
      <c r="B224" s="1" t="s">
        <v>23</v>
      </c>
      <c r="C224" s="1" t="s">
        <v>24</v>
      </c>
      <c r="D224" s="3">
        <v>43374</v>
      </c>
      <c r="E224" s="1" t="s">
        <v>14</v>
      </c>
      <c r="F224" s="1" t="s">
        <v>15</v>
      </c>
      <c r="G224" s="1">
        <v>685976466617.2</v>
      </c>
    </row>
    <row ht="13.8" outlineLevel="0" r="225">
      <c r="A225" s="1" t="s">
        <v>22</v>
      </c>
      <c r="B225" s="1" t="s">
        <v>23</v>
      </c>
      <c r="C225" s="1" t="s">
        <v>24</v>
      </c>
      <c r="D225" s="3">
        <v>43374</v>
      </c>
      <c r="E225" s="1" t="s">
        <v>16</v>
      </c>
      <c r="F225" s="1" t="s">
        <v>17</v>
      </c>
      <c r="G225" s="1">
        <v>334546525239.25</v>
      </c>
    </row>
    <row ht="13.8" outlineLevel="0" r="226">
      <c r="A226" s="1" t="s">
        <v>25</v>
      </c>
      <c r="B226" s="1" t="s">
        <v>23</v>
      </c>
      <c r="C226" s="1" t="s">
        <v>24</v>
      </c>
      <c r="D226" s="3">
        <v>43374</v>
      </c>
      <c r="E226" s="1" t="s">
        <v>16</v>
      </c>
      <c r="F226" s="1" t="s">
        <v>17</v>
      </c>
      <c r="G226" s="1">
        <v>446259536261.97</v>
      </c>
    </row>
    <row ht="13.8" outlineLevel="0" r="227">
      <c r="A227" s="1" t="s">
        <v>22</v>
      </c>
      <c r="B227" s="1" t="s">
        <v>23</v>
      </c>
      <c r="C227" s="1" t="s">
        <v>24</v>
      </c>
      <c r="D227" s="3">
        <v>43374</v>
      </c>
      <c r="E227" s="1" t="s">
        <v>18</v>
      </c>
      <c r="F227" s="1" t="s">
        <v>19</v>
      </c>
      <c r="G227" s="1">
        <v>334546525239.25</v>
      </c>
    </row>
    <row ht="13.8" outlineLevel="0" r="228">
      <c r="A228" s="1" t="s">
        <v>25</v>
      </c>
      <c r="B228" s="1" t="s">
        <v>23</v>
      </c>
      <c r="C228" s="1" t="s">
        <v>24</v>
      </c>
      <c r="D228" s="3">
        <v>43374</v>
      </c>
      <c r="E228" s="1" t="s">
        <v>18</v>
      </c>
      <c r="F228" s="1" t="s">
        <v>19</v>
      </c>
      <c r="G228" s="1">
        <v>446259536261.97</v>
      </c>
    </row>
    <row ht="13.8" outlineLevel="0" r="229">
      <c r="A229" s="1" t="s">
        <v>22</v>
      </c>
      <c r="B229" s="1" t="s">
        <v>23</v>
      </c>
      <c r="C229" s="1" t="s">
        <v>24</v>
      </c>
      <c r="D229" s="3">
        <v>43405</v>
      </c>
      <c r="E229" s="1" t="s">
        <v>10</v>
      </c>
      <c r="F229" s="1" t="s">
        <v>11</v>
      </c>
      <c r="G229" s="1">
        <v>370546775988.87</v>
      </c>
    </row>
    <row ht="13.8" outlineLevel="0" r="230">
      <c r="A230" s="1" t="s">
        <v>25</v>
      </c>
      <c r="B230" s="1" t="s">
        <v>23</v>
      </c>
      <c r="C230" s="1" t="s">
        <v>24</v>
      </c>
      <c r="D230" s="3">
        <v>43405</v>
      </c>
      <c r="E230" s="1" t="s">
        <v>10</v>
      </c>
      <c r="F230" s="1" t="s">
        <v>11</v>
      </c>
      <c r="G230" s="1">
        <v>1042079152454.13</v>
      </c>
    </row>
    <row ht="13.8" outlineLevel="0" r="231">
      <c r="A231" s="1" t="s">
        <v>22</v>
      </c>
      <c r="B231" s="1" t="s">
        <v>23</v>
      </c>
      <c r="C231" s="1" t="s">
        <v>24</v>
      </c>
      <c r="D231" s="3">
        <v>43405</v>
      </c>
      <c r="E231" s="1" t="s">
        <v>14</v>
      </c>
      <c r="F231" s="1" t="s">
        <v>15</v>
      </c>
      <c r="G231" s="1">
        <v>343193464415.77</v>
      </c>
    </row>
    <row ht="13.8" outlineLevel="0" r="232">
      <c r="A232" s="1" t="s">
        <v>25</v>
      </c>
      <c r="B232" s="1" t="s">
        <v>23</v>
      </c>
      <c r="C232" s="1" t="s">
        <v>24</v>
      </c>
      <c r="D232" s="3">
        <v>43405</v>
      </c>
      <c r="E232" s="1" t="s">
        <v>14</v>
      </c>
      <c r="F232" s="1" t="s">
        <v>15</v>
      </c>
      <c r="G232" s="1">
        <v>687739753093.32</v>
      </c>
    </row>
    <row ht="13.8" outlineLevel="0" r="233">
      <c r="A233" s="1" t="s">
        <v>22</v>
      </c>
      <c r="B233" s="1" t="s">
        <v>23</v>
      </c>
      <c r="C233" s="1" t="s">
        <v>24</v>
      </c>
      <c r="D233" s="3">
        <v>43405</v>
      </c>
      <c r="E233" s="1" t="s">
        <v>16</v>
      </c>
      <c r="F233" s="1" t="s">
        <v>17</v>
      </c>
      <c r="G233" s="1">
        <v>335139639653.5</v>
      </c>
    </row>
    <row ht="13.8" outlineLevel="0" r="234">
      <c r="A234" s="1" t="s">
        <v>25</v>
      </c>
      <c r="B234" s="1" t="s">
        <v>23</v>
      </c>
      <c r="C234" s="1" t="s">
        <v>24</v>
      </c>
      <c r="D234" s="3">
        <v>43405</v>
      </c>
      <c r="E234" s="1" t="s">
        <v>16</v>
      </c>
      <c r="F234" s="1" t="s">
        <v>17</v>
      </c>
      <c r="G234" s="1">
        <v>449033306061.43</v>
      </c>
    </row>
    <row ht="13.8" outlineLevel="0" r="235">
      <c r="A235" s="1" t="s">
        <v>22</v>
      </c>
      <c r="B235" s="1" t="s">
        <v>23</v>
      </c>
      <c r="C235" s="1" t="s">
        <v>24</v>
      </c>
      <c r="D235" s="3">
        <v>43405</v>
      </c>
      <c r="E235" s="1" t="s">
        <v>18</v>
      </c>
      <c r="F235" s="1" t="s">
        <v>19</v>
      </c>
      <c r="G235" s="1">
        <v>335139639653.5</v>
      </c>
    </row>
    <row ht="13.8" outlineLevel="0" r="236">
      <c r="A236" s="1" t="s">
        <v>25</v>
      </c>
      <c r="B236" s="1" t="s">
        <v>23</v>
      </c>
      <c r="C236" s="1" t="s">
        <v>24</v>
      </c>
      <c r="D236" s="3">
        <v>43405</v>
      </c>
      <c r="E236" s="1" t="s">
        <v>18</v>
      </c>
      <c r="F236" s="1" t="s">
        <v>19</v>
      </c>
      <c r="G236" s="1">
        <v>449033306061.43</v>
      </c>
    </row>
    <row ht="13.8" outlineLevel="0" r="237">
      <c r="A237" s="1" t="s">
        <v>22</v>
      </c>
      <c r="B237" s="1" t="s">
        <v>23</v>
      </c>
      <c r="C237" s="1" t="s">
        <v>24</v>
      </c>
      <c r="D237" s="3">
        <v>43435</v>
      </c>
      <c r="E237" s="1" t="s">
        <v>10</v>
      </c>
      <c r="F237" s="1" t="s">
        <v>11</v>
      </c>
      <c r="G237" s="1">
        <v>370290936212.69</v>
      </c>
    </row>
    <row ht="13.8" outlineLevel="0" r="238">
      <c r="A238" s="1" t="s">
        <v>25</v>
      </c>
      <c r="B238" s="1" t="s">
        <v>23</v>
      </c>
      <c r="C238" s="1" t="s">
        <v>24</v>
      </c>
      <c r="D238" s="3">
        <v>43435</v>
      </c>
      <c r="E238" s="1" t="s">
        <v>10</v>
      </c>
      <c r="F238" s="1" t="s">
        <v>11</v>
      </c>
      <c r="G238" s="1">
        <v>1042334992230.31</v>
      </c>
    </row>
    <row ht="13.8" outlineLevel="0" r="239">
      <c r="A239" s="1" t="s">
        <v>22</v>
      </c>
      <c r="B239" s="1" t="s">
        <v>23</v>
      </c>
      <c r="C239" s="1" t="s">
        <v>24</v>
      </c>
      <c r="D239" s="3">
        <v>43435</v>
      </c>
      <c r="E239" s="1" t="s">
        <v>14</v>
      </c>
      <c r="F239" s="1" t="s">
        <v>15</v>
      </c>
      <c r="G239" s="1">
        <v>336163357650.48</v>
      </c>
    </row>
    <row ht="13.8" outlineLevel="0" r="240">
      <c r="A240" s="1" t="s">
        <v>25</v>
      </c>
      <c r="B240" s="1" t="s">
        <v>23</v>
      </c>
      <c r="C240" s="1" t="s">
        <v>24</v>
      </c>
      <c r="D240" s="3">
        <v>43435</v>
      </c>
      <c r="E240" s="1" t="s">
        <v>14</v>
      </c>
      <c r="F240" s="1" t="s">
        <v>15</v>
      </c>
      <c r="G240" s="1">
        <v>450238738588.69</v>
      </c>
    </row>
    <row ht="13.8" outlineLevel="0" r="241">
      <c r="A241" s="1" t="s">
        <v>22</v>
      </c>
      <c r="B241" s="1" t="s">
        <v>23</v>
      </c>
      <c r="C241" s="1" t="s">
        <v>24</v>
      </c>
      <c r="D241" s="3">
        <v>43435</v>
      </c>
      <c r="E241" s="1" t="s">
        <v>16</v>
      </c>
      <c r="F241" s="1" t="s">
        <v>17</v>
      </c>
      <c r="G241" s="1">
        <v>336160953192.18</v>
      </c>
    </row>
    <row ht="13.8" outlineLevel="0" r="242">
      <c r="A242" s="1" t="s">
        <v>25</v>
      </c>
      <c r="B242" s="1" t="s">
        <v>23</v>
      </c>
      <c r="C242" s="1" t="s">
        <v>24</v>
      </c>
      <c r="D242" s="3">
        <v>43435</v>
      </c>
      <c r="E242" s="1" t="s">
        <v>16</v>
      </c>
      <c r="F242" s="1" t="s">
        <v>17</v>
      </c>
      <c r="G242" s="1">
        <v>450198329588.69</v>
      </c>
    </row>
    <row ht="13.8" outlineLevel="0" r="243">
      <c r="A243" s="1" t="s">
        <v>22</v>
      </c>
      <c r="B243" s="1" t="s">
        <v>23</v>
      </c>
      <c r="C243" s="1" t="s">
        <v>24</v>
      </c>
      <c r="D243" s="3">
        <v>43435</v>
      </c>
      <c r="E243" s="1" t="s">
        <v>20</v>
      </c>
      <c r="F243" s="1" t="s">
        <v>21</v>
      </c>
      <c r="G243" s="1">
        <v>2404458.3</v>
      </c>
    </row>
    <row ht="13.8" outlineLevel="0" r="244">
      <c r="A244" s="1" t="s">
        <v>25</v>
      </c>
      <c r="B244" s="1" t="s">
        <v>23</v>
      </c>
      <c r="C244" s="1" t="s">
        <v>24</v>
      </c>
      <c r="D244" s="3">
        <v>43435</v>
      </c>
      <c r="E244" s="1" t="s">
        <v>20</v>
      </c>
      <c r="F244" s="1" t="s">
        <v>21</v>
      </c>
      <c r="G244" s="1">
        <v>40409000</v>
      </c>
    </row>
    <row ht="13.8" outlineLevel="0" r="245">
      <c r="A245" s="1" t="s">
        <v>22</v>
      </c>
      <c r="B245" s="1" t="s">
        <v>23</v>
      </c>
      <c r="C245" s="1" t="s">
        <v>24</v>
      </c>
      <c r="D245" s="3">
        <v>43435</v>
      </c>
      <c r="E245" s="1" t="s">
        <v>18</v>
      </c>
      <c r="F245" s="1" t="s">
        <v>19</v>
      </c>
      <c r="G245" s="1">
        <v>336153728203.26</v>
      </c>
    </row>
    <row ht="13.8" outlineLevel="0" r="246">
      <c r="A246" s="1" t="s">
        <v>25</v>
      </c>
      <c r="B246" s="1" t="s">
        <v>23</v>
      </c>
      <c r="C246" s="1" t="s">
        <v>24</v>
      </c>
      <c r="D246" s="3">
        <v>43435</v>
      </c>
      <c r="E246" s="1" t="s">
        <v>18</v>
      </c>
      <c r="F246" s="1" t="s">
        <v>19</v>
      </c>
      <c r="G246" s="1">
        <v>450198329588.69</v>
      </c>
    </row>
    <row ht="13.8" outlineLevel="0" r="247">
      <c r="A247" s="1" t="s">
        <v>26</v>
      </c>
      <c r="B247" s="1" t="s">
        <v>27</v>
      </c>
      <c r="C247" s="1" t="s">
        <v>28</v>
      </c>
      <c r="D247" s="3">
        <v>43101</v>
      </c>
      <c r="E247" s="1" t="s">
        <v>10</v>
      </c>
      <c r="F247" s="1" t="s">
        <v>11</v>
      </c>
      <c r="G247" s="1">
        <v>322777100128</v>
      </c>
    </row>
    <row ht="13.8" outlineLevel="0" r="248">
      <c r="A248" s="1" t="s">
        <v>29</v>
      </c>
      <c r="B248" s="1" t="s">
        <v>30</v>
      </c>
      <c r="C248" s="1" t="s">
        <v>31</v>
      </c>
      <c r="D248" s="3">
        <v>43101</v>
      </c>
      <c r="E248" s="1" t="s">
        <v>10</v>
      </c>
      <c r="F248" s="1" t="s">
        <v>11</v>
      </c>
      <c r="G248" s="1">
        <v>316241343760</v>
      </c>
    </row>
    <row ht="13.8" outlineLevel="0" r="249">
      <c r="A249" s="1" t="s">
        <v>32</v>
      </c>
      <c r="B249" s="1" t="s">
        <v>33</v>
      </c>
      <c r="C249" s="1" t="s">
        <v>34</v>
      </c>
      <c r="D249" s="3">
        <v>43101</v>
      </c>
      <c r="E249" s="1" t="s">
        <v>10</v>
      </c>
      <c r="F249" s="1" t="s">
        <v>11</v>
      </c>
      <c r="G249" s="1">
        <v>44023680482</v>
      </c>
    </row>
    <row ht="13.8" outlineLevel="0" r="250">
      <c r="A250" s="1" t="s">
        <v>35</v>
      </c>
      <c r="B250" s="1" t="s">
        <v>36</v>
      </c>
      <c r="C250" s="1" t="s">
        <v>37</v>
      </c>
      <c r="D250" s="3">
        <v>43101</v>
      </c>
      <c r="E250" s="1" t="s">
        <v>10</v>
      </c>
      <c r="F250" s="1" t="s">
        <v>11</v>
      </c>
      <c r="G250" s="1">
        <v>82420475023</v>
      </c>
    </row>
    <row ht="13.8" outlineLevel="0" r="251">
      <c r="A251" s="1" t="s">
        <v>38</v>
      </c>
      <c r="B251" s="1" t="s">
        <v>39</v>
      </c>
      <c r="C251" s="1" t="s">
        <v>40</v>
      </c>
      <c r="D251" s="3">
        <v>43101</v>
      </c>
      <c r="E251" s="1" t="s">
        <v>10</v>
      </c>
      <c r="F251" s="1" t="s">
        <v>11</v>
      </c>
      <c r="G251" s="1">
        <v>25880804713</v>
      </c>
    </row>
    <row ht="13.8" outlineLevel="0" r="252">
      <c r="A252" s="1" t="s">
        <v>26</v>
      </c>
      <c r="B252" s="1" t="s">
        <v>27</v>
      </c>
      <c r="C252" s="1" t="s">
        <v>28</v>
      </c>
      <c r="D252" s="3">
        <v>43101</v>
      </c>
      <c r="E252" s="1" t="s">
        <v>14</v>
      </c>
      <c r="F252" s="1" t="s">
        <v>15</v>
      </c>
      <c r="G252" s="1">
        <v>194393142798.744</v>
      </c>
    </row>
    <row ht="13.8" outlineLevel="0" r="253">
      <c r="A253" s="1" t="s">
        <v>29</v>
      </c>
      <c r="B253" s="1" t="s">
        <v>30</v>
      </c>
      <c r="C253" s="1" t="s">
        <v>31</v>
      </c>
      <c r="D253" s="3">
        <v>43101</v>
      </c>
      <c r="E253" s="1" t="s">
        <v>14</v>
      </c>
      <c r="F253" s="1" t="s">
        <v>15</v>
      </c>
      <c r="G253" s="1">
        <v>82045006492.82</v>
      </c>
    </row>
    <row ht="13.8" outlineLevel="0" r="254">
      <c r="A254" s="1" t="s">
        <v>32</v>
      </c>
      <c r="B254" s="1" t="s">
        <v>33</v>
      </c>
      <c r="C254" s="1" t="s">
        <v>34</v>
      </c>
      <c r="D254" s="3">
        <v>43101</v>
      </c>
      <c r="E254" s="1" t="s">
        <v>14</v>
      </c>
      <c r="F254" s="1" t="s">
        <v>15</v>
      </c>
      <c r="G254" s="1">
        <v>781798503.2601</v>
      </c>
    </row>
    <row ht="13.8" outlineLevel="0" r="255">
      <c r="A255" s="1" t="s">
        <v>35</v>
      </c>
      <c r="B255" s="1" t="s">
        <v>36</v>
      </c>
      <c r="C255" s="1" t="s">
        <v>37</v>
      </c>
      <c r="D255" s="3">
        <v>43101</v>
      </c>
      <c r="E255" s="1" t="s">
        <v>14</v>
      </c>
      <c r="F255" s="1" t="s">
        <v>15</v>
      </c>
      <c r="G255" s="1">
        <v>33001123166.66</v>
      </c>
    </row>
    <row ht="13.8" outlineLevel="0" r="256">
      <c r="A256" s="1" t="s">
        <v>26</v>
      </c>
      <c r="B256" s="1" t="s">
        <v>27</v>
      </c>
      <c r="C256" s="1" t="s">
        <v>28</v>
      </c>
      <c r="D256" s="3">
        <v>43101</v>
      </c>
      <c r="E256" s="1" t="s">
        <v>16</v>
      </c>
      <c r="F256" s="1" t="s">
        <v>17</v>
      </c>
      <c r="G256" s="1">
        <v>25901796271.1719</v>
      </c>
    </row>
    <row ht="13.8" outlineLevel="0" r="257">
      <c r="A257" s="1" t="s">
        <v>29</v>
      </c>
      <c r="B257" s="1" t="s">
        <v>30</v>
      </c>
      <c r="C257" s="1" t="s">
        <v>31</v>
      </c>
      <c r="D257" s="3">
        <v>43101</v>
      </c>
      <c r="E257" s="1" t="s">
        <v>16</v>
      </c>
      <c r="F257" s="1" t="s">
        <v>17</v>
      </c>
      <c r="G257" s="1">
        <v>56320771189.63</v>
      </c>
    </row>
    <row ht="13.8" outlineLevel="0" r="258">
      <c r="A258" s="1" t="s">
        <v>32</v>
      </c>
      <c r="B258" s="1" t="s">
        <v>33</v>
      </c>
      <c r="C258" s="1" t="s">
        <v>34</v>
      </c>
      <c r="D258" s="3">
        <v>43101</v>
      </c>
      <c r="E258" s="1" t="s">
        <v>16</v>
      </c>
      <c r="F258" s="1" t="s">
        <v>17</v>
      </c>
      <c r="G258" s="1">
        <v>23987735.1956</v>
      </c>
    </row>
    <row ht="13.8" outlineLevel="0" r="259">
      <c r="A259" s="1" t="s">
        <v>35</v>
      </c>
      <c r="B259" s="1" t="s">
        <v>36</v>
      </c>
      <c r="C259" s="1" t="s">
        <v>37</v>
      </c>
      <c r="D259" s="3">
        <v>43101</v>
      </c>
      <c r="E259" s="1" t="s">
        <v>16</v>
      </c>
      <c r="F259" s="1" t="s">
        <v>17</v>
      </c>
      <c r="G259" s="1">
        <v>2264416825.95</v>
      </c>
    </row>
    <row ht="13.8" outlineLevel="0" r="260">
      <c r="A260" s="1" t="s">
        <v>26</v>
      </c>
      <c r="B260" s="1" t="s">
        <v>27</v>
      </c>
      <c r="C260" s="1" t="s">
        <v>28</v>
      </c>
      <c r="D260" s="3">
        <v>43101</v>
      </c>
      <c r="E260" s="1" t="s">
        <v>18</v>
      </c>
      <c r="F260" s="1" t="s">
        <v>19</v>
      </c>
      <c r="G260" s="1">
        <v>24125756663.7419</v>
      </c>
    </row>
    <row ht="13.8" outlineLevel="0" r="261">
      <c r="A261" s="1" t="s">
        <v>29</v>
      </c>
      <c r="B261" s="1" t="s">
        <v>30</v>
      </c>
      <c r="C261" s="1" t="s">
        <v>31</v>
      </c>
      <c r="D261" s="3">
        <v>43101</v>
      </c>
      <c r="E261" s="1" t="s">
        <v>18</v>
      </c>
      <c r="F261" s="1" t="s">
        <v>19</v>
      </c>
      <c r="G261" s="1">
        <v>56320771189.63</v>
      </c>
    </row>
    <row ht="13.8" outlineLevel="0" r="262">
      <c r="A262" s="1" t="s">
        <v>32</v>
      </c>
      <c r="B262" s="1" t="s">
        <v>33</v>
      </c>
      <c r="C262" s="1" t="s">
        <v>34</v>
      </c>
      <c r="D262" s="3">
        <v>43101</v>
      </c>
      <c r="E262" s="1" t="s">
        <v>18</v>
      </c>
      <c r="F262" s="1" t="s">
        <v>19</v>
      </c>
      <c r="G262" s="1">
        <v>2366175.8856</v>
      </c>
    </row>
    <row ht="13.8" outlineLevel="0" r="263">
      <c r="A263" s="1" t="s">
        <v>35</v>
      </c>
      <c r="B263" s="1" t="s">
        <v>36</v>
      </c>
      <c r="C263" s="1" t="s">
        <v>37</v>
      </c>
      <c r="D263" s="3">
        <v>43101</v>
      </c>
      <c r="E263" s="1" t="s">
        <v>18</v>
      </c>
      <c r="F263" s="1" t="s">
        <v>19</v>
      </c>
      <c r="G263" s="1">
        <v>2262669355.05</v>
      </c>
    </row>
    <row ht="13.8" outlineLevel="0" r="264">
      <c r="A264" s="1" t="s">
        <v>26</v>
      </c>
      <c r="B264" s="1" t="s">
        <v>27</v>
      </c>
      <c r="C264" s="1" t="s">
        <v>28</v>
      </c>
      <c r="D264" s="3">
        <v>43132</v>
      </c>
      <c r="E264" s="1" t="s">
        <v>10</v>
      </c>
      <c r="F264" s="1" t="s">
        <v>11</v>
      </c>
      <c r="G264" s="1">
        <v>322777100128</v>
      </c>
    </row>
    <row ht="13.8" outlineLevel="0" r="265">
      <c r="A265" s="1" t="s">
        <v>29</v>
      </c>
      <c r="B265" s="1" t="s">
        <v>30</v>
      </c>
      <c r="C265" s="1" t="s">
        <v>31</v>
      </c>
      <c r="D265" s="3">
        <v>43132</v>
      </c>
      <c r="E265" s="1" t="s">
        <v>10</v>
      </c>
      <c r="F265" s="1" t="s">
        <v>11</v>
      </c>
      <c r="G265" s="1">
        <v>366241343760</v>
      </c>
    </row>
    <row ht="13.8" outlineLevel="0" r="266">
      <c r="A266" s="1" t="s">
        <v>32</v>
      </c>
      <c r="B266" s="1" t="s">
        <v>33</v>
      </c>
      <c r="C266" s="1" t="s">
        <v>34</v>
      </c>
      <c r="D266" s="3">
        <v>43132</v>
      </c>
      <c r="E266" s="1" t="s">
        <v>10</v>
      </c>
      <c r="F266" s="1" t="s">
        <v>11</v>
      </c>
      <c r="G266" s="1">
        <v>43789680762</v>
      </c>
    </row>
    <row ht="13.8" outlineLevel="0" r="267">
      <c r="A267" s="1" t="s">
        <v>35</v>
      </c>
      <c r="B267" s="1" t="s">
        <v>36</v>
      </c>
      <c r="C267" s="1" t="s">
        <v>37</v>
      </c>
      <c r="D267" s="3">
        <v>43132</v>
      </c>
      <c r="E267" s="1" t="s">
        <v>10</v>
      </c>
      <c r="F267" s="1" t="s">
        <v>11</v>
      </c>
      <c r="G267" s="1">
        <v>82420475023</v>
      </c>
    </row>
    <row ht="13.8" outlineLevel="0" r="268">
      <c r="A268" s="1" t="s">
        <v>38</v>
      </c>
      <c r="B268" s="1" t="s">
        <v>39</v>
      </c>
      <c r="C268" s="1" t="s">
        <v>40</v>
      </c>
      <c r="D268" s="3">
        <v>43132</v>
      </c>
      <c r="E268" s="1" t="s">
        <v>10</v>
      </c>
      <c r="F268" s="1" t="s">
        <v>11</v>
      </c>
      <c r="G268" s="1">
        <v>25880804713</v>
      </c>
    </row>
    <row ht="13.8" outlineLevel="0" r="269">
      <c r="A269" s="1" t="s">
        <v>26</v>
      </c>
      <c r="B269" s="1" t="s">
        <v>27</v>
      </c>
      <c r="C269" s="1" t="s">
        <v>28</v>
      </c>
      <c r="D269" s="3">
        <v>43132</v>
      </c>
      <c r="E269" s="1" t="s">
        <v>14</v>
      </c>
      <c r="F269" s="1" t="s">
        <v>15</v>
      </c>
      <c r="G269" s="1">
        <v>203454232663.479</v>
      </c>
    </row>
    <row ht="13.8" outlineLevel="0" r="270">
      <c r="A270" s="1" t="s">
        <v>29</v>
      </c>
      <c r="B270" s="1" t="s">
        <v>30</v>
      </c>
      <c r="C270" s="1" t="s">
        <v>31</v>
      </c>
      <c r="D270" s="3">
        <v>43132</v>
      </c>
      <c r="E270" s="1" t="s">
        <v>14</v>
      </c>
      <c r="F270" s="1" t="s">
        <v>15</v>
      </c>
      <c r="G270" s="1">
        <v>105757695810.85</v>
      </c>
    </row>
    <row ht="13.8" outlineLevel="0" r="271">
      <c r="A271" s="1" t="s">
        <v>32</v>
      </c>
      <c r="B271" s="1" t="s">
        <v>33</v>
      </c>
      <c r="C271" s="1" t="s">
        <v>34</v>
      </c>
      <c r="D271" s="3">
        <v>43132</v>
      </c>
      <c r="E271" s="1" t="s">
        <v>14</v>
      </c>
      <c r="F271" s="1" t="s">
        <v>15</v>
      </c>
      <c r="G271" s="1">
        <v>3511426537.8683</v>
      </c>
    </row>
    <row ht="13.8" outlineLevel="0" r="272">
      <c r="A272" s="1" t="s">
        <v>35</v>
      </c>
      <c r="B272" s="1" t="s">
        <v>36</v>
      </c>
      <c r="C272" s="1" t="s">
        <v>37</v>
      </c>
      <c r="D272" s="3">
        <v>43132</v>
      </c>
      <c r="E272" s="1" t="s">
        <v>14</v>
      </c>
      <c r="F272" s="1" t="s">
        <v>15</v>
      </c>
      <c r="G272" s="1">
        <v>36894265808.74</v>
      </c>
    </row>
    <row ht="13.8" outlineLevel="0" r="273">
      <c r="A273" s="1" t="s">
        <v>26</v>
      </c>
      <c r="B273" s="1" t="s">
        <v>27</v>
      </c>
      <c r="C273" s="1" t="s">
        <v>28</v>
      </c>
      <c r="D273" s="3">
        <v>43132</v>
      </c>
      <c r="E273" s="1" t="s">
        <v>16</v>
      </c>
      <c r="F273" s="1" t="s">
        <v>17</v>
      </c>
      <c r="G273" s="1">
        <v>49434570076.2304</v>
      </c>
    </row>
    <row ht="13.8" outlineLevel="0" r="274">
      <c r="A274" s="1" t="s">
        <v>29</v>
      </c>
      <c r="B274" s="1" t="s">
        <v>30</v>
      </c>
      <c r="C274" s="1" t="s">
        <v>31</v>
      </c>
      <c r="D274" s="3">
        <v>43132</v>
      </c>
      <c r="E274" s="1" t="s">
        <v>16</v>
      </c>
      <c r="F274" s="1" t="s">
        <v>17</v>
      </c>
      <c r="G274" s="1">
        <v>83453093731.95</v>
      </c>
    </row>
    <row ht="13.8" outlineLevel="0" r="275">
      <c r="A275" s="1" t="s">
        <v>32</v>
      </c>
      <c r="B275" s="1" t="s">
        <v>33</v>
      </c>
      <c r="C275" s="1" t="s">
        <v>34</v>
      </c>
      <c r="D275" s="3">
        <v>43132</v>
      </c>
      <c r="E275" s="1" t="s">
        <v>16</v>
      </c>
      <c r="F275" s="1" t="s">
        <v>17</v>
      </c>
      <c r="G275" s="1">
        <v>81600500.5741</v>
      </c>
    </row>
    <row ht="13.8" outlineLevel="0" r="276">
      <c r="A276" s="1" t="s">
        <v>35</v>
      </c>
      <c r="B276" s="1" t="s">
        <v>36</v>
      </c>
      <c r="C276" s="1" t="s">
        <v>37</v>
      </c>
      <c r="D276" s="3">
        <v>43132</v>
      </c>
      <c r="E276" s="1" t="s">
        <v>16</v>
      </c>
      <c r="F276" s="1" t="s">
        <v>17</v>
      </c>
      <c r="G276" s="1">
        <v>6620106617.41</v>
      </c>
    </row>
    <row ht="13.8" outlineLevel="0" r="277">
      <c r="A277" s="1" t="s">
        <v>26</v>
      </c>
      <c r="B277" s="1" t="s">
        <v>27</v>
      </c>
      <c r="C277" s="1" t="s">
        <v>28</v>
      </c>
      <c r="D277" s="3">
        <v>43132</v>
      </c>
      <c r="E277" s="1" t="s">
        <v>18</v>
      </c>
      <c r="F277" s="1" t="s">
        <v>19</v>
      </c>
      <c r="G277" s="1">
        <v>47849446342.7367</v>
      </c>
    </row>
    <row ht="13.8" outlineLevel="0" r="278">
      <c r="A278" s="1" t="s">
        <v>29</v>
      </c>
      <c r="B278" s="1" t="s">
        <v>30</v>
      </c>
      <c r="C278" s="1" t="s">
        <v>31</v>
      </c>
      <c r="D278" s="3">
        <v>43132</v>
      </c>
      <c r="E278" s="1" t="s">
        <v>18</v>
      </c>
      <c r="F278" s="1" t="s">
        <v>19</v>
      </c>
      <c r="G278" s="1">
        <v>83453093731.95</v>
      </c>
    </row>
    <row ht="13.8" outlineLevel="0" r="279">
      <c r="A279" s="1" t="s">
        <v>32</v>
      </c>
      <c r="B279" s="1" t="s">
        <v>33</v>
      </c>
      <c r="C279" s="1" t="s">
        <v>34</v>
      </c>
      <c r="D279" s="3">
        <v>43132</v>
      </c>
      <c r="E279" s="1" t="s">
        <v>18</v>
      </c>
      <c r="F279" s="1" t="s">
        <v>19</v>
      </c>
      <c r="G279" s="1">
        <v>29419334.7241</v>
      </c>
    </row>
    <row ht="13.8" outlineLevel="0" r="280">
      <c r="A280" s="1" t="s">
        <v>35</v>
      </c>
      <c r="B280" s="1" t="s">
        <v>36</v>
      </c>
      <c r="C280" s="1" t="s">
        <v>37</v>
      </c>
      <c r="D280" s="3">
        <v>43132</v>
      </c>
      <c r="E280" s="1" t="s">
        <v>18</v>
      </c>
      <c r="F280" s="1" t="s">
        <v>19</v>
      </c>
      <c r="G280" s="1">
        <v>5174832434.48</v>
      </c>
    </row>
    <row ht="13.8" outlineLevel="0" r="281">
      <c r="A281" s="1" t="s">
        <v>26</v>
      </c>
      <c r="B281" s="1" t="s">
        <v>27</v>
      </c>
      <c r="C281" s="1" t="s">
        <v>28</v>
      </c>
      <c r="D281" s="3">
        <v>43160</v>
      </c>
      <c r="E281" s="1" t="s">
        <v>10</v>
      </c>
      <c r="F281" s="1" t="s">
        <v>11</v>
      </c>
      <c r="G281" s="1">
        <v>322597100128</v>
      </c>
    </row>
    <row ht="13.8" outlineLevel="0" r="282">
      <c r="A282" s="1" t="s">
        <v>29</v>
      </c>
      <c r="B282" s="1" t="s">
        <v>30</v>
      </c>
      <c r="C282" s="1" t="s">
        <v>31</v>
      </c>
      <c r="D282" s="3">
        <v>43160</v>
      </c>
      <c r="E282" s="1" t="s">
        <v>10</v>
      </c>
      <c r="F282" s="1" t="s">
        <v>11</v>
      </c>
      <c r="G282" s="1">
        <v>366241343760</v>
      </c>
    </row>
    <row ht="13.8" outlineLevel="0" r="283">
      <c r="A283" s="1" t="s">
        <v>32</v>
      </c>
      <c r="B283" s="1" t="s">
        <v>33</v>
      </c>
      <c r="C283" s="1" t="s">
        <v>34</v>
      </c>
      <c r="D283" s="3">
        <v>43160</v>
      </c>
      <c r="E283" s="1" t="s">
        <v>10</v>
      </c>
      <c r="F283" s="1" t="s">
        <v>11</v>
      </c>
      <c r="G283" s="1">
        <v>42797280924</v>
      </c>
    </row>
    <row ht="13.8" outlineLevel="0" r="284">
      <c r="A284" s="1" t="s">
        <v>35</v>
      </c>
      <c r="B284" s="1" t="s">
        <v>36</v>
      </c>
      <c r="C284" s="1" t="s">
        <v>37</v>
      </c>
      <c r="D284" s="3">
        <v>43160</v>
      </c>
      <c r="E284" s="1" t="s">
        <v>10</v>
      </c>
      <c r="F284" s="1" t="s">
        <v>11</v>
      </c>
      <c r="G284" s="1">
        <v>82412975023</v>
      </c>
    </row>
    <row ht="13.8" outlineLevel="0" r="285">
      <c r="A285" s="1" t="s">
        <v>38</v>
      </c>
      <c r="B285" s="1" t="s">
        <v>39</v>
      </c>
      <c r="C285" s="1" t="s">
        <v>40</v>
      </c>
      <c r="D285" s="3">
        <v>43160</v>
      </c>
      <c r="E285" s="1" t="s">
        <v>10</v>
      </c>
      <c r="F285" s="1" t="s">
        <v>11</v>
      </c>
      <c r="G285" s="1">
        <v>25880804713</v>
      </c>
    </row>
    <row ht="13.8" outlineLevel="0" r="286">
      <c r="A286" s="1" t="s">
        <v>26</v>
      </c>
      <c r="B286" s="1" t="s">
        <v>27</v>
      </c>
      <c r="C286" s="1" t="s">
        <v>28</v>
      </c>
      <c r="D286" s="3">
        <v>43160</v>
      </c>
      <c r="E286" s="1" t="s">
        <v>14</v>
      </c>
      <c r="F286" s="1" t="s">
        <v>15</v>
      </c>
      <c r="G286" s="1">
        <v>215351009090.077</v>
      </c>
    </row>
    <row ht="13.8" outlineLevel="0" r="287">
      <c r="A287" s="1" t="s">
        <v>29</v>
      </c>
      <c r="B287" s="1" t="s">
        <v>30</v>
      </c>
      <c r="C287" s="1" t="s">
        <v>31</v>
      </c>
      <c r="D287" s="3">
        <v>43160</v>
      </c>
      <c r="E287" s="1" t="s">
        <v>14</v>
      </c>
      <c r="F287" s="1" t="s">
        <v>15</v>
      </c>
      <c r="G287" s="1">
        <v>120915624399.58</v>
      </c>
    </row>
    <row ht="13.8" outlineLevel="0" r="288">
      <c r="A288" s="1" t="s">
        <v>32</v>
      </c>
      <c r="B288" s="1" t="s">
        <v>33</v>
      </c>
      <c r="C288" s="1" t="s">
        <v>34</v>
      </c>
      <c r="D288" s="3">
        <v>43160</v>
      </c>
      <c r="E288" s="1" t="s">
        <v>14</v>
      </c>
      <c r="F288" s="1" t="s">
        <v>15</v>
      </c>
      <c r="G288" s="1">
        <v>10858064983.4175</v>
      </c>
    </row>
    <row ht="13.8" outlineLevel="0" r="289">
      <c r="A289" s="1" t="s">
        <v>35</v>
      </c>
      <c r="B289" s="1" t="s">
        <v>36</v>
      </c>
      <c r="C289" s="1" t="s">
        <v>37</v>
      </c>
      <c r="D289" s="3">
        <v>43160</v>
      </c>
      <c r="E289" s="1" t="s">
        <v>14</v>
      </c>
      <c r="F289" s="1" t="s">
        <v>15</v>
      </c>
      <c r="G289" s="1">
        <v>37196935103.83</v>
      </c>
    </row>
    <row ht="13.8" outlineLevel="0" r="290">
      <c r="A290" s="1" t="s">
        <v>26</v>
      </c>
      <c r="B290" s="1" t="s">
        <v>27</v>
      </c>
      <c r="C290" s="1" t="s">
        <v>28</v>
      </c>
      <c r="D290" s="3">
        <v>43160</v>
      </c>
      <c r="E290" s="1" t="s">
        <v>16</v>
      </c>
      <c r="F290" s="1" t="s">
        <v>17</v>
      </c>
      <c r="G290" s="1">
        <v>76892918904.4291</v>
      </c>
    </row>
    <row ht="13.8" outlineLevel="0" r="291">
      <c r="A291" s="1" t="s">
        <v>29</v>
      </c>
      <c r="B291" s="1" t="s">
        <v>30</v>
      </c>
      <c r="C291" s="1" t="s">
        <v>31</v>
      </c>
      <c r="D291" s="3">
        <v>43160</v>
      </c>
      <c r="E291" s="1" t="s">
        <v>16</v>
      </c>
      <c r="F291" s="1" t="s">
        <v>17</v>
      </c>
      <c r="G291" s="1">
        <v>97118882146.09</v>
      </c>
    </row>
    <row ht="13.8" outlineLevel="0" r="292">
      <c r="A292" s="1" t="s">
        <v>32</v>
      </c>
      <c r="B292" s="1" t="s">
        <v>33</v>
      </c>
      <c r="C292" s="1" t="s">
        <v>34</v>
      </c>
      <c r="D292" s="3">
        <v>43160</v>
      </c>
      <c r="E292" s="1" t="s">
        <v>16</v>
      </c>
      <c r="F292" s="1" t="s">
        <v>17</v>
      </c>
      <c r="G292" s="1">
        <v>477551816.3814</v>
      </c>
    </row>
    <row ht="13.8" outlineLevel="0" r="293">
      <c r="A293" s="1" t="s">
        <v>35</v>
      </c>
      <c r="B293" s="1" t="s">
        <v>36</v>
      </c>
      <c r="C293" s="1" t="s">
        <v>37</v>
      </c>
      <c r="D293" s="3">
        <v>43160</v>
      </c>
      <c r="E293" s="1" t="s">
        <v>16</v>
      </c>
      <c r="F293" s="1" t="s">
        <v>17</v>
      </c>
      <c r="G293" s="1">
        <v>9794464716.01</v>
      </c>
    </row>
    <row ht="13.8" outlineLevel="0" r="294">
      <c r="A294" s="1" t="s">
        <v>26</v>
      </c>
      <c r="B294" s="1" t="s">
        <v>27</v>
      </c>
      <c r="C294" s="1" t="s">
        <v>28</v>
      </c>
      <c r="D294" s="3">
        <v>43160</v>
      </c>
      <c r="E294" s="1" t="s">
        <v>18</v>
      </c>
      <c r="F294" s="1" t="s">
        <v>19</v>
      </c>
      <c r="G294" s="1">
        <v>75311974700.4623</v>
      </c>
    </row>
    <row ht="13.8" outlineLevel="0" r="295">
      <c r="A295" s="1" t="s">
        <v>29</v>
      </c>
      <c r="B295" s="1" t="s">
        <v>30</v>
      </c>
      <c r="C295" s="1" t="s">
        <v>31</v>
      </c>
      <c r="D295" s="3">
        <v>43160</v>
      </c>
      <c r="E295" s="1" t="s">
        <v>18</v>
      </c>
      <c r="F295" s="1" t="s">
        <v>19</v>
      </c>
      <c r="G295" s="1">
        <v>97118882146.09</v>
      </c>
    </row>
    <row ht="13.8" outlineLevel="0" r="296">
      <c r="A296" s="1" t="s">
        <v>32</v>
      </c>
      <c r="B296" s="1" t="s">
        <v>33</v>
      </c>
      <c r="C296" s="1" t="s">
        <v>34</v>
      </c>
      <c r="D296" s="3">
        <v>43160</v>
      </c>
      <c r="E296" s="1" t="s">
        <v>18</v>
      </c>
      <c r="F296" s="1" t="s">
        <v>19</v>
      </c>
      <c r="G296" s="1">
        <v>376222687.8714</v>
      </c>
    </row>
    <row ht="13.8" outlineLevel="0" r="297">
      <c r="A297" s="1" t="s">
        <v>35</v>
      </c>
      <c r="B297" s="1" t="s">
        <v>36</v>
      </c>
      <c r="C297" s="1" t="s">
        <v>37</v>
      </c>
      <c r="D297" s="3">
        <v>43160</v>
      </c>
      <c r="E297" s="1" t="s">
        <v>18</v>
      </c>
      <c r="F297" s="1" t="s">
        <v>19</v>
      </c>
      <c r="G297" s="1">
        <v>9754301770.37</v>
      </c>
    </row>
    <row ht="13.8" outlineLevel="0" r="298">
      <c r="A298" s="1" t="s">
        <v>26</v>
      </c>
      <c r="B298" s="1" t="s">
        <v>27</v>
      </c>
      <c r="C298" s="1" t="s">
        <v>28</v>
      </c>
      <c r="D298" s="3">
        <v>43191</v>
      </c>
      <c r="E298" s="1" t="s">
        <v>10</v>
      </c>
      <c r="F298" s="1" t="s">
        <v>11</v>
      </c>
      <c r="G298" s="1">
        <v>328172718514</v>
      </c>
    </row>
    <row ht="13.8" outlineLevel="0" r="299">
      <c r="A299" s="1" t="s">
        <v>29</v>
      </c>
      <c r="B299" s="1" t="s">
        <v>30</v>
      </c>
      <c r="C299" s="1" t="s">
        <v>31</v>
      </c>
      <c r="D299" s="3">
        <v>43191</v>
      </c>
      <c r="E299" s="1" t="s">
        <v>10</v>
      </c>
      <c r="F299" s="1" t="s">
        <v>11</v>
      </c>
      <c r="G299" s="1">
        <v>366241343760</v>
      </c>
    </row>
    <row ht="13.8" outlineLevel="0" r="300">
      <c r="A300" s="1" t="s">
        <v>32</v>
      </c>
      <c r="B300" s="1" t="s">
        <v>33</v>
      </c>
      <c r="C300" s="1" t="s">
        <v>34</v>
      </c>
      <c r="D300" s="3">
        <v>43191</v>
      </c>
      <c r="E300" s="1" t="s">
        <v>10</v>
      </c>
      <c r="F300" s="1" t="s">
        <v>11</v>
      </c>
      <c r="G300" s="1">
        <v>42788448814</v>
      </c>
    </row>
    <row ht="13.8" outlineLevel="0" r="301">
      <c r="A301" s="1" t="s">
        <v>35</v>
      </c>
      <c r="B301" s="1" t="s">
        <v>36</v>
      </c>
      <c r="C301" s="1" t="s">
        <v>37</v>
      </c>
      <c r="D301" s="3">
        <v>43191</v>
      </c>
      <c r="E301" s="1" t="s">
        <v>10</v>
      </c>
      <c r="F301" s="1" t="s">
        <v>11</v>
      </c>
      <c r="G301" s="1">
        <v>82411155023</v>
      </c>
    </row>
    <row ht="13.8" outlineLevel="0" r="302">
      <c r="A302" s="1" t="s">
        <v>38</v>
      </c>
      <c r="B302" s="1" t="s">
        <v>39</v>
      </c>
      <c r="C302" s="1" t="s">
        <v>40</v>
      </c>
      <c r="D302" s="3">
        <v>43191</v>
      </c>
      <c r="E302" s="1" t="s">
        <v>10</v>
      </c>
      <c r="F302" s="1" t="s">
        <v>11</v>
      </c>
      <c r="G302" s="1">
        <v>25605064763</v>
      </c>
    </row>
    <row ht="13.8" outlineLevel="0" r="303">
      <c r="A303" s="1" t="s">
        <v>26</v>
      </c>
      <c r="B303" s="1" t="s">
        <v>27</v>
      </c>
      <c r="C303" s="1" t="s">
        <v>28</v>
      </c>
      <c r="D303" s="3">
        <v>43191</v>
      </c>
      <c r="E303" s="1" t="s">
        <v>14</v>
      </c>
      <c r="F303" s="1" t="s">
        <v>15</v>
      </c>
      <c r="G303" s="1">
        <v>225284207185.575</v>
      </c>
    </row>
    <row ht="13.8" outlineLevel="0" r="304">
      <c r="A304" s="1" t="s">
        <v>29</v>
      </c>
      <c r="B304" s="1" t="s">
        <v>30</v>
      </c>
      <c r="C304" s="1" t="s">
        <v>31</v>
      </c>
      <c r="D304" s="3">
        <v>43191</v>
      </c>
      <c r="E304" s="1" t="s">
        <v>14</v>
      </c>
      <c r="F304" s="1" t="s">
        <v>15</v>
      </c>
      <c r="G304" s="1">
        <v>138203440764.2</v>
      </c>
    </row>
    <row ht="13.8" outlineLevel="0" r="305">
      <c r="A305" s="1" t="s">
        <v>32</v>
      </c>
      <c r="B305" s="1" t="s">
        <v>33</v>
      </c>
      <c r="C305" s="1" t="s">
        <v>34</v>
      </c>
      <c r="D305" s="3">
        <v>43191</v>
      </c>
      <c r="E305" s="1" t="s">
        <v>14</v>
      </c>
      <c r="F305" s="1" t="s">
        <v>15</v>
      </c>
      <c r="G305" s="1">
        <v>15507979374.32</v>
      </c>
    </row>
    <row ht="13.8" outlineLevel="0" r="306">
      <c r="A306" s="1" t="s">
        <v>35</v>
      </c>
      <c r="B306" s="1" t="s">
        <v>36</v>
      </c>
      <c r="C306" s="1" t="s">
        <v>37</v>
      </c>
      <c r="D306" s="3">
        <v>43191</v>
      </c>
      <c r="E306" s="1" t="s">
        <v>14</v>
      </c>
      <c r="F306" s="1" t="s">
        <v>15</v>
      </c>
      <c r="G306" s="1">
        <v>41005848321.15</v>
      </c>
    </row>
    <row ht="13.8" outlineLevel="0" r="307">
      <c r="A307" s="1" t="s">
        <v>26</v>
      </c>
      <c r="B307" s="1" t="s">
        <v>27</v>
      </c>
      <c r="C307" s="1" t="s">
        <v>28</v>
      </c>
      <c r="D307" s="3">
        <v>43191</v>
      </c>
      <c r="E307" s="1" t="s">
        <v>16</v>
      </c>
      <c r="F307" s="1" t="s">
        <v>17</v>
      </c>
      <c r="G307" s="1">
        <v>100526410608.703</v>
      </c>
    </row>
    <row ht="13.8" outlineLevel="0" r="308">
      <c r="A308" s="1" t="s">
        <v>29</v>
      </c>
      <c r="B308" s="1" t="s">
        <v>30</v>
      </c>
      <c r="C308" s="1" t="s">
        <v>31</v>
      </c>
      <c r="D308" s="3">
        <v>43191</v>
      </c>
      <c r="E308" s="1" t="s">
        <v>16</v>
      </c>
      <c r="F308" s="1" t="s">
        <v>17</v>
      </c>
      <c r="G308" s="1">
        <v>116133546768.01</v>
      </c>
    </row>
    <row ht="13.8" outlineLevel="0" r="309">
      <c r="A309" s="1" t="s">
        <v>32</v>
      </c>
      <c r="B309" s="1" t="s">
        <v>33</v>
      </c>
      <c r="C309" s="1" t="s">
        <v>34</v>
      </c>
      <c r="D309" s="3">
        <v>43191</v>
      </c>
      <c r="E309" s="1" t="s">
        <v>16</v>
      </c>
      <c r="F309" s="1" t="s">
        <v>17</v>
      </c>
      <c r="G309" s="1">
        <v>1276013969.344</v>
      </c>
    </row>
    <row ht="13.8" outlineLevel="0" r="310">
      <c r="A310" s="1" t="s">
        <v>35</v>
      </c>
      <c r="B310" s="1" t="s">
        <v>36</v>
      </c>
      <c r="C310" s="1" t="s">
        <v>37</v>
      </c>
      <c r="D310" s="3">
        <v>43191</v>
      </c>
      <c r="E310" s="1" t="s">
        <v>16</v>
      </c>
      <c r="F310" s="1" t="s">
        <v>17</v>
      </c>
      <c r="G310" s="1">
        <v>16761517124.32</v>
      </c>
    </row>
    <row ht="13.8" outlineLevel="0" r="311">
      <c r="A311" s="1" t="s">
        <v>26</v>
      </c>
      <c r="B311" s="1" t="s">
        <v>27</v>
      </c>
      <c r="C311" s="1" t="s">
        <v>28</v>
      </c>
      <c r="D311" s="3">
        <v>43191</v>
      </c>
      <c r="E311" s="1" t="s">
        <v>18</v>
      </c>
      <c r="F311" s="1" t="s">
        <v>19</v>
      </c>
      <c r="G311" s="1">
        <v>99156708732.0733</v>
      </c>
    </row>
    <row ht="13.8" outlineLevel="0" r="312">
      <c r="A312" s="1" t="s">
        <v>29</v>
      </c>
      <c r="B312" s="1" t="s">
        <v>30</v>
      </c>
      <c r="C312" s="1" t="s">
        <v>31</v>
      </c>
      <c r="D312" s="3">
        <v>43191</v>
      </c>
      <c r="E312" s="1" t="s">
        <v>18</v>
      </c>
      <c r="F312" s="1" t="s">
        <v>19</v>
      </c>
      <c r="G312" s="1">
        <v>116133546768.01</v>
      </c>
    </row>
    <row ht="13.8" outlineLevel="0" r="313">
      <c r="A313" s="1" t="s">
        <v>32</v>
      </c>
      <c r="B313" s="1" t="s">
        <v>33</v>
      </c>
      <c r="C313" s="1" t="s">
        <v>34</v>
      </c>
      <c r="D313" s="3">
        <v>43191</v>
      </c>
      <c r="E313" s="1" t="s">
        <v>18</v>
      </c>
      <c r="F313" s="1" t="s">
        <v>19</v>
      </c>
      <c r="G313" s="1">
        <v>1160057320.814</v>
      </c>
    </row>
    <row ht="13.8" outlineLevel="0" r="314">
      <c r="A314" s="1" t="s">
        <v>35</v>
      </c>
      <c r="B314" s="1" t="s">
        <v>36</v>
      </c>
      <c r="C314" s="1" t="s">
        <v>37</v>
      </c>
      <c r="D314" s="3">
        <v>43191</v>
      </c>
      <c r="E314" s="1" t="s">
        <v>18</v>
      </c>
      <c r="F314" s="1" t="s">
        <v>19</v>
      </c>
      <c r="G314" s="1">
        <v>15324121015.66</v>
      </c>
    </row>
    <row ht="13.8" outlineLevel="0" r="315">
      <c r="A315" s="1" t="s">
        <v>26</v>
      </c>
      <c r="B315" s="1" t="s">
        <v>27</v>
      </c>
      <c r="C315" s="1" t="s">
        <v>28</v>
      </c>
      <c r="D315" s="3">
        <v>43221</v>
      </c>
      <c r="E315" s="1" t="s">
        <v>10</v>
      </c>
      <c r="F315" s="1" t="s">
        <v>11</v>
      </c>
      <c r="G315" s="1">
        <v>328172718514</v>
      </c>
    </row>
    <row ht="13.8" outlineLevel="0" r="316">
      <c r="A316" s="1" t="s">
        <v>29</v>
      </c>
      <c r="B316" s="1" t="s">
        <v>30</v>
      </c>
      <c r="C316" s="1" t="s">
        <v>31</v>
      </c>
      <c r="D316" s="3">
        <v>43221</v>
      </c>
      <c r="E316" s="1" t="s">
        <v>10</v>
      </c>
      <c r="F316" s="1" t="s">
        <v>11</v>
      </c>
      <c r="G316" s="1">
        <v>366261169940</v>
      </c>
    </row>
    <row ht="13.8" outlineLevel="0" r="317">
      <c r="A317" s="1" t="s">
        <v>32</v>
      </c>
      <c r="B317" s="1" t="s">
        <v>33</v>
      </c>
      <c r="C317" s="1" t="s">
        <v>34</v>
      </c>
      <c r="D317" s="3">
        <v>43221</v>
      </c>
      <c r="E317" s="1" t="s">
        <v>10</v>
      </c>
      <c r="F317" s="1" t="s">
        <v>11</v>
      </c>
      <c r="G317" s="1">
        <v>43156348875</v>
      </c>
    </row>
    <row ht="13.8" outlineLevel="0" r="318">
      <c r="A318" s="1" t="s">
        <v>35</v>
      </c>
      <c r="B318" s="1" t="s">
        <v>36</v>
      </c>
      <c r="C318" s="1" t="s">
        <v>37</v>
      </c>
      <c r="D318" s="3">
        <v>43221</v>
      </c>
      <c r="E318" s="1" t="s">
        <v>10</v>
      </c>
      <c r="F318" s="1" t="s">
        <v>11</v>
      </c>
      <c r="G318" s="1">
        <v>82426100629</v>
      </c>
    </row>
    <row ht="13.8" outlineLevel="0" r="319">
      <c r="A319" s="1" t="s">
        <v>38</v>
      </c>
      <c r="B319" s="1" t="s">
        <v>39</v>
      </c>
      <c r="C319" s="1" t="s">
        <v>40</v>
      </c>
      <c r="D319" s="3">
        <v>43221</v>
      </c>
      <c r="E319" s="1" t="s">
        <v>10</v>
      </c>
      <c r="F319" s="1" t="s">
        <v>11</v>
      </c>
      <c r="G319" s="1">
        <v>25521582692</v>
      </c>
    </row>
    <row ht="13.8" outlineLevel="0" r="320">
      <c r="A320" s="1" t="s">
        <v>26</v>
      </c>
      <c r="B320" s="1" t="s">
        <v>27</v>
      </c>
      <c r="C320" s="1" t="s">
        <v>28</v>
      </c>
      <c r="D320" s="3">
        <v>43221</v>
      </c>
      <c r="E320" s="1" t="s">
        <v>14</v>
      </c>
      <c r="F320" s="1" t="s">
        <v>15</v>
      </c>
      <c r="G320" s="1">
        <v>240791349343.519</v>
      </c>
    </row>
    <row ht="13.8" outlineLevel="0" r="321">
      <c r="A321" s="1" t="s">
        <v>29</v>
      </c>
      <c r="B321" s="1" t="s">
        <v>30</v>
      </c>
      <c r="C321" s="1" t="s">
        <v>31</v>
      </c>
      <c r="D321" s="3">
        <v>43221</v>
      </c>
      <c r="E321" s="1" t="s">
        <v>14</v>
      </c>
      <c r="F321" s="1" t="s">
        <v>15</v>
      </c>
      <c r="G321" s="1">
        <v>185445201747.23</v>
      </c>
    </row>
    <row ht="13.8" outlineLevel="0" r="322">
      <c r="A322" s="1" t="s">
        <v>32</v>
      </c>
      <c r="B322" s="1" t="s">
        <v>33</v>
      </c>
      <c r="C322" s="1" t="s">
        <v>34</v>
      </c>
      <c r="D322" s="3">
        <v>43221</v>
      </c>
      <c r="E322" s="1" t="s">
        <v>14</v>
      </c>
      <c r="F322" s="1" t="s">
        <v>15</v>
      </c>
      <c r="G322" s="1">
        <v>18773279717.9047</v>
      </c>
    </row>
    <row ht="13.8" outlineLevel="0" r="323">
      <c r="A323" s="1" t="s">
        <v>35</v>
      </c>
      <c r="B323" s="1" t="s">
        <v>36</v>
      </c>
      <c r="C323" s="1" t="s">
        <v>37</v>
      </c>
      <c r="D323" s="3">
        <v>43221</v>
      </c>
      <c r="E323" s="1" t="s">
        <v>14</v>
      </c>
      <c r="F323" s="1" t="s">
        <v>15</v>
      </c>
      <c r="G323" s="1">
        <v>53346969048.3</v>
      </c>
    </row>
    <row ht="13.8" outlineLevel="0" r="324">
      <c r="A324" s="1" t="s">
        <v>26</v>
      </c>
      <c r="B324" s="1" t="s">
        <v>27</v>
      </c>
      <c r="C324" s="1" t="s">
        <v>28</v>
      </c>
      <c r="D324" s="3">
        <v>43221</v>
      </c>
      <c r="E324" s="1" t="s">
        <v>16</v>
      </c>
      <c r="F324" s="1" t="s">
        <v>17</v>
      </c>
      <c r="G324" s="1">
        <v>124678391051.085</v>
      </c>
    </row>
    <row ht="13.8" outlineLevel="0" r="325">
      <c r="A325" s="1" t="s">
        <v>29</v>
      </c>
      <c r="B325" s="1" t="s">
        <v>30</v>
      </c>
      <c r="C325" s="1" t="s">
        <v>31</v>
      </c>
      <c r="D325" s="3">
        <v>43221</v>
      </c>
      <c r="E325" s="1" t="s">
        <v>16</v>
      </c>
      <c r="F325" s="1" t="s">
        <v>17</v>
      </c>
      <c r="G325" s="1">
        <v>134680665770.11</v>
      </c>
    </row>
    <row ht="13.8" outlineLevel="0" r="326">
      <c r="A326" s="1" t="s">
        <v>32</v>
      </c>
      <c r="B326" s="1" t="s">
        <v>33</v>
      </c>
      <c r="C326" s="1" t="s">
        <v>34</v>
      </c>
      <c r="D326" s="3">
        <v>43221</v>
      </c>
      <c r="E326" s="1" t="s">
        <v>16</v>
      </c>
      <c r="F326" s="1" t="s">
        <v>17</v>
      </c>
      <c r="G326" s="1">
        <v>2353999708.4403</v>
      </c>
    </row>
    <row ht="13.8" outlineLevel="0" r="327">
      <c r="A327" s="1" t="s">
        <v>35</v>
      </c>
      <c r="B327" s="1" t="s">
        <v>36</v>
      </c>
      <c r="C327" s="1" t="s">
        <v>37</v>
      </c>
      <c r="D327" s="3">
        <v>43221</v>
      </c>
      <c r="E327" s="1" t="s">
        <v>16</v>
      </c>
      <c r="F327" s="1" t="s">
        <v>17</v>
      </c>
      <c r="G327" s="1">
        <v>21534735847.97</v>
      </c>
    </row>
    <row ht="13.8" outlineLevel="0" r="328">
      <c r="A328" s="1" t="s">
        <v>26</v>
      </c>
      <c r="B328" s="1" t="s">
        <v>27</v>
      </c>
      <c r="C328" s="1" t="s">
        <v>28</v>
      </c>
      <c r="D328" s="3">
        <v>43221</v>
      </c>
      <c r="E328" s="1" t="s">
        <v>18</v>
      </c>
      <c r="F328" s="1" t="s">
        <v>19</v>
      </c>
      <c r="G328" s="1">
        <v>123308035982.725</v>
      </c>
    </row>
    <row ht="13.8" outlineLevel="0" r="329">
      <c r="A329" s="1" t="s">
        <v>29</v>
      </c>
      <c r="B329" s="1" t="s">
        <v>30</v>
      </c>
      <c r="C329" s="1" t="s">
        <v>31</v>
      </c>
      <c r="D329" s="3">
        <v>43221</v>
      </c>
      <c r="E329" s="1" t="s">
        <v>18</v>
      </c>
      <c r="F329" s="1" t="s">
        <v>19</v>
      </c>
      <c r="G329" s="1">
        <v>134680665770.11</v>
      </c>
    </row>
    <row ht="13.8" outlineLevel="0" r="330">
      <c r="A330" s="1" t="s">
        <v>32</v>
      </c>
      <c r="B330" s="1" t="s">
        <v>33</v>
      </c>
      <c r="C330" s="1" t="s">
        <v>34</v>
      </c>
      <c r="D330" s="3">
        <v>43221</v>
      </c>
      <c r="E330" s="1" t="s">
        <v>18</v>
      </c>
      <c r="F330" s="1" t="s">
        <v>19</v>
      </c>
      <c r="G330" s="1">
        <v>2160512778.0003</v>
      </c>
    </row>
    <row ht="13.8" outlineLevel="0" r="331">
      <c r="A331" s="1" t="s">
        <v>35</v>
      </c>
      <c r="B331" s="1" t="s">
        <v>36</v>
      </c>
      <c r="C331" s="1" t="s">
        <v>37</v>
      </c>
      <c r="D331" s="3">
        <v>43221</v>
      </c>
      <c r="E331" s="1" t="s">
        <v>18</v>
      </c>
      <c r="F331" s="1" t="s">
        <v>19</v>
      </c>
      <c r="G331" s="1">
        <v>20097327126.2</v>
      </c>
    </row>
    <row ht="13.8" outlineLevel="0" r="332">
      <c r="A332" s="1" t="s">
        <v>26</v>
      </c>
      <c r="B332" s="1" t="s">
        <v>27</v>
      </c>
      <c r="C332" s="1" t="s">
        <v>28</v>
      </c>
      <c r="D332" s="3">
        <v>43252</v>
      </c>
      <c r="E332" s="1" t="s">
        <v>10</v>
      </c>
      <c r="F332" s="1" t="s">
        <v>11</v>
      </c>
      <c r="G332" s="1">
        <v>328202718514</v>
      </c>
    </row>
    <row ht="13.8" outlineLevel="0" r="333">
      <c r="A333" s="1" t="s">
        <v>29</v>
      </c>
      <c r="B333" s="1" t="s">
        <v>30</v>
      </c>
      <c r="C333" s="1" t="s">
        <v>31</v>
      </c>
      <c r="D333" s="3">
        <v>43252</v>
      </c>
      <c r="E333" s="1" t="s">
        <v>10</v>
      </c>
      <c r="F333" s="1" t="s">
        <v>11</v>
      </c>
      <c r="G333" s="1">
        <v>366261169940</v>
      </c>
    </row>
    <row ht="13.8" outlineLevel="0" r="334">
      <c r="A334" s="1" t="s">
        <v>32</v>
      </c>
      <c r="B334" s="1" t="s">
        <v>33</v>
      </c>
      <c r="C334" s="1" t="s">
        <v>34</v>
      </c>
      <c r="D334" s="3">
        <v>43252</v>
      </c>
      <c r="E334" s="1" t="s">
        <v>10</v>
      </c>
      <c r="F334" s="1" t="s">
        <v>11</v>
      </c>
      <c r="G334" s="1">
        <v>42731115575</v>
      </c>
    </row>
    <row ht="13.8" outlineLevel="0" r="335">
      <c r="A335" s="1" t="s">
        <v>35</v>
      </c>
      <c r="B335" s="1" t="s">
        <v>36</v>
      </c>
      <c r="C335" s="1" t="s">
        <v>37</v>
      </c>
      <c r="D335" s="3">
        <v>43252</v>
      </c>
      <c r="E335" s="1" t="s">
        <v>10</v>
      </c>
      <c r="F335" s="1" t="s">
        <v>11</v>
      </c>
      <c r="G335" s="1">
        <v>80062946878</v>
      </c>
    </row>
    <row ht="13.8" outlineLevel="0" r="336">
      <c r="A336" s="1" t="s">
        <v>38</v>
      </c>
      <c r="B336" s="1" t="s">
        <v>39</v>
      </c>
      <c r="C336" s="1" t="s">
        <v>40</v>
      </c>
      <c r="D336" s="3">
        <v>43252</v>
      </c>
      <c r="E336" s="1" t="s">
        <v>10</v>
      </c>
      <c r="F336" s="1" t="s">
        <v>11</v>
      </c>
      <c r="G336" s="1">
        <v>19323992620</v>
      </c>
    </row>
    <row ht="13.8" outlineLevel="0" r="337">
      <c r="A337" s="1" t="s">
        <v>26</v>
      </c>
      <c r="B337" s="1" t="s">
        <v>27</v>
      </c>
      <c r="C337" s="1" t="s">
        <v>28</v>
      </c>
      <c r="D337" s="3">
        <v>43252</v>
      </c>
      <c r="E337" s="1" t="s">
        <v>14</v>
      </c>
      <c r="F337" s="1" t="s">
        <v>15</v>
      </c>
      <c r="G337" s="1">
        <v>252226105724.386</v>
      </c>
    </row>
    <row ht="13.8" outlineLevel="0" r="338">
      <c r="A338" s="1" t="s">
        <v>29</v>
      </c>
      <c r="B338" s="1" t="s">
        <v>30</v>
      </c>
      <c r="C338" s="1" t="s">
        <v>31</v>
      </c>
      <c r="D338" s="3">
        <v>43252</v>
      </c>
      <c r="E338" s="1" t="s">
        <v>14</v>
      </c>
      <c r="F338" s="1" t="s">
        <v>15</v>
      </c>
      <c r="G338" s="1">
        <v>346532292086.03</v>
      </c>
    </row>
    <row ht="13.8" outlineLevel="0" r="339">
      <c r="A339" s="1" t="s">
        <v>32</v>
      </c>
      <c r="B339" s="1" t="s">
        <v>33</v>
      </c>
      <c r="C339" s="1" t="s">
        <v>34</v>
      </c>
      <c r="D339" s="3">
        <v>43252</v>
      </c>
      <c r="E339" s="1" t="s">
        <v>14</v>
      </c>
      <c r="F339" s="1" t="s">
        <v>15</v>
      </c>
      <c r="G339" s="1">
        <v>22058440728.8645</v>
      </c>
    </row>
    <row ht="13.8" outlineLevel="0" r="340">
      <c r="A340" s="1" t="s">
        <v>35</v>
      </c>
      <c r="B340" s="1" t="s">
        <v>36</v>
      </c>
      <c r="C340" s="1" t="s">
        <v>37</v>
      </c>
      <c r="D340" s="3">
        <v>43252</v>
      </c>
      <c r="E340" s="1" t="s">
        <v>14</v>
      </c>
      <c r="F340" s="1" t="s">
        <v>15</v>
      </c>
      <c r="G340" s="1">
        <v>57898123539.06</v>
      </c>
    </row>
    <row ht="13.8" outlineLevel="0" r="341">
      <c r="A341" s="1" t="s">
        <v>26</v>
      </c>
      <c r="B341" s="1" t="s">
        <v>27</v>
      </c>
      <c r="C341" s="1" t="s">
        <v>28</v>
      </c>
      <c r="D341" s="3">
        <v>43252</v>
      </c>
      <c r="E341" s="1" t="s">
        <v>16</v>
      </c>
      <c r="F341" s="1" t="s">
        <v>17</v>
      </c>
      <c r="G341" s="1">
        <v>155404943984.453</v>
      </c>
    </row>
    <row ht="13.8" outlineLevel="0" r="342">
      <c r="A342" s="1" t="s">
        <v>29</v>
      </c>
      <c r="B342" s="1" t="s">
        <v>30</v>
      </c>
      <c r="C342" s="1" t="s">
        <v>31</v>
      </c>
      <c r="D342" s="3">
        <v>43252</v>
      </c>
      <c r="E342" s="1" t="s">
        <v>16</v>
      </c>
      <c r="F342" s="1" t="s">
        <v>17</v>
      </c>
      <c r="G342" s="1">
        <v>136449487718.11</v>
      </c>
    </row>
    <row ht="13.8" outlineLevel="0" r="343">
      <c r="A343" s="1" t="s">
        <v>32</v>
      </c>
      <c r="B343" s="1" t="s">
        <v>33</v>
      </c>
      <c r="C343" s="1" t="s">
        <v>34</v>
      </c>
      <c r="D343" s="3">
        <v>43252</v>
      </c>
      <c r="E343" s="1" t="s">
        <v>16</v>
      </c>
      <c r="F343" s="1" t="s">
        <v>17</v>
      </c>
      <c r="G343" s="1">
        <v>4096876615.6827</v>
      </c>
    </row>
    <row ht="13.8" outlineLevel="0" r="344">
      <c r="A344" s="1" t="s">
        <v>35</v>
      </c>
      <c r="B344" s="1" t="s">
        <v>36</v>
      </c>
      <c r="C344" s="1" t="s">
        <v>37</v>
      </c>
      <c r="D344" s="3">
        <v>43252</v>
      </c>
      <c r="E344" s="1" t="s">
        <v>16</v>
      </c>
      <c r="F344" s="1" t="s">
        <v>17</v>
      </c>
      <c r="G344" s="1">
        <v>26273165208.81</v>
      </c>
    </row>
    <row ht="13.8" outlineLevel="0" r="345">
      <c r="A345" s="1" t="s">
        <v>26</v>
      </c>
      <c r="B345" s="1" t="s">
        <v>27</v>
      </c>
      <c r="C345" s="1" t="s">
        <v>28</v>
      </c>
      <c r="D345" s="3">
        <v>43252</v>
      </c>
      <c r="E345" s="1" t="s">
        <v>18</v>
      </c>
      <c r="F345" s="1" t="s">
        <v>19</v>
      </c>
      <c r="G345" s="1">
        <v>153923382629.503</v>
      </c>
    </row>
    <row ht="13.8" outlineLevel="0" r="346">
      <c r="A346" s="1" t="s">
        <v>29</v>
      </c>
      <c r="B346" s="1" t="s">
        <v>30</v>
      </c>
      <c r="C346" s="1" t="s">
        <v>31</v>
      </c>
      <c r="D346" s="3">
        <v>43252</v>
      </c>
      <c r="E346" s="1" t="s">
        <v>18</v>
      </c>
      <c r="F346" s="1" t="s">
        <v>19</v>
      </c>
      <c r="G346" s="1">
        <v>136449487718.11</v>
      </c>
    </row>
    <row ht="13.8" outlineLevel="0" r="347">
      <c r="A347" s="1" t="s">
        <v>32</v>
      </c>
      <c r="B347" s="1" t="s">
        <v>33</v>
      </c>
      <c r="C347" s="1" t="s">
        <v>34</v>
      </c>
      <c r="D347" s="3">
        <v>43252</v>
      </c>
      <c r="E347" s="1" t="s">
        <v>18</v>
      </c>
      <c r="F347" s="1" t="s">
        <v>19</v>
      </c>
      <c r="G347" s="1">
        <v>3934424644.6093</v>
      </c>
    </row>
    <row ht="13.8" outlineLevel="0" r="348">
      <c r="A348" s="1" t="s">
        <v>35</v>
      </c>
      <c r="B348" s="1" t="s">
        <v>36</v>
      </c>
      <c r="C348" s="1" t="s">
        <v>37</v>
      </c>
      <c r="D348" s="3">
        <v>43252</v>
      </c>
      <c r="E348" s="1" t="s">
        <v>18</v>
      </c>
      <c r="F348" s="1" t="s">
        <v>19</v>
      </c>
      <c r="G348" s="1">
        <v>26225188727.7</v>
      </c>
    </row>
    <row ht="13.8" outlineLevel="0" r="349">
      <c r="A349" s="1" t="s">
        <v>26</v>
      </c>
      <c r="B349" s="1" t="s">
        <v>27</v>
      </c>
      <c r="C349" s="1" t="s">
        <v>28</v>
      </c>
      <c r="D349" s="3">
        <v>43282</v>
      </c>
      <c r="E349" s="1" t="s">
        <v>10</v>
      </c>
      <c r="F349" s="1" t="s">
        <v>11</v>
      </c>
      <c r="G349" s="1">
        <v>328202718514</v>
      </c>
    </row>
    <row ht="13.8" outlineLevel="0" r="350">
      <c r="A350" s="1" t="s">
        <v>29</v>
      </c>
      <c r="B350" s="1" t="s">
        <v>30</v>
      </c>
      <c r="C350" s="1" t="s">
        <v>31</v>
      </c>
      <c r="D350" s="3">
        <v>43282</v>
      </c>
      <c r="E350" s="1" t="s">
        <v>10</v>
      </c>
      <c r="F350" s="1" t="s">
        <v>11</v>
      </c>
      <c r="G350" s="1">
        <v>366261169940</v>
      </c>
    </row>
    <row ht="13.8" outlineLevel="0" r="351">
      <c r="A351" s="1" t="s">
        <v>32</v>
      </c>
      <c r="B351" s="1" t="s">
        <v>33</v>
      </c>
      <c r="C351" s="1" t="s">
        <v>34</v>
      </c>
      <c r="D351" s="3">
        <v>43282</v>
      </c>
      <c r="E351" s="1" t="s">
        <v>10</v>
      </c>
      <c r="F351" s="1" t="s">
        <v>11</v>
      </c>
      <c r="G351" s="1">
        <v>42603929091</v>
      </c>
    </row>
    <row ht="13.8" outlineLevel="0" r="352">
      <c r="A352" s="1" t="s">
        <v>35</v>
      </c>
      <c r="B352" s="1" t="s">
        <v>36</v>
      </c>
      <c r="C352" s="1" t="s">
        <v>37</v>
      </c>
      <c r="D352" s="3">
        <v>43282</v>
      </c>
      <c r="E352" s="1" t="s">
        <v>10</v>
      </c>
      <c r="F352" s="1" t="s">
        <v>11</v>
      </c>
      <c r="G352" s="1">
        <v>80062946878</v>
      </c>
    </row>
    <row ht="13.8" outlineLevel="0" r="353">
      <c r="A353" s="1" t="s">
        <v>38</v>
      </c>
      <c r="B353" s="1" t="s">
        <v>39</v>
      </c>
      <c r="C353" s="1" t="s">
        <v>40</v>
      </c>
      <c r="D353" s="3">
        <v>43282</v>
      </c>
      <c r="E353" s="1" t="s">
        <v>10</v>
      </c>
      <c r="F353" s="1" t="s">
        <v>11</v>
      </c>
      <c r="G353" s="1">
        <v>19323661720</v>
      </c>
    </row>
    <row ht="13.8" outlineLevel="0" r="354">
      <c r="A354" s="1" t="s">
        <v>26</v>
      </c>
      <c r="B354" s="1" t="s">
        <v>27</v>
      </c>
      <c r="C354" s="1" t="s">
        <v>28</v>
      </c>
      <c r="D354" s="3">
        <v>43282</v>
      </c>
      <c r="E354" s="1" t="s">
        <v>14</v>
      </c>
      <c r="F354" s="1" t="s">
        <v>15</v>
      </c>
      <c r="G354" s="1">
        <v>263282425836.498</v>
      </c>
    </row>
    <row ht="13.8" outlineLevel="0" r="355">
      <c r="A355" s="1" t="s">
        <v>29</v>
      </c>
      <c r="B355" s="1" t="s">
        <v>30</v>
      </c>
      <c r="C355" s="1" t="s">
        <v>31</v>
      </c>
      <c r="D355" s="3">
        <v>43282</v>
      </c>
      <c r="E355" s="1" t="s">
        <v>14</v>
      </c>
      <c r="F355" s="1" t="s">
        <v>15</v>
      </c>
      <c r="G355" s="1">
        <v>348983530478.31</v>
      </c>
    </row>
    <row ht="13.8" outlineLevel="0" r="356">
      <c r="A356" s="1" t="s">
        <v>32</v>
      </c>
      <c r="B356" s="1" t="s">
        <v>33</v>
      </c>
      <c r="C356" s="1" t="s">
        <v>34</v>
      </c>
      <c r="D356" s="3">
        <v>43282</v>
      </c>
      <c r="E356" s="1" t="s">
        <v>14</v>
      </c>
      <c r="F356" s="1" t="s">
        <v>15</v>
      </c>
      <c r="G356" s="1">
        <v>24789775179.6583</v>
      </c>
    </row>
    <row ht="13.8" outlineLevel="0" r="357">
      <c r="A357" s="1" t="s">
        <v>35</v>
      </c>
      <c r="B357" s="1" t="s">
        <v>36</v>
      </c>
      <c r="C357" s="1" t="s">
        <v>37</v>
      </c>
      <c r="D357" s="3">
        <v>43282</v>
      </c>
      <c r="E357" s="1" t="s">
        <v>14</v>
      </c>
      <c r="F357" s="1" t="s">
        <v>15</v>
      </c>
      <c r="G357" s="1">
        <v>60854629519.85</v>
      </c>
    </row>
    <row ht="13.8" outlineLevel="0" r="358">
      <c r="A358" s="1" t="s">
        <v>26</v>
      </c>
      <c r="B358" s="1" t="s">
        <v>27</v>
      </c>
      <c r="C358" s="1" t="s">
        <v>28</v>
      </c>
      <c r="D358" s="3">
        <v>43282</v>
      </c>
      <c r="E358" s="1" t="s">
        <v>16</v>
      </c>
      <c r="F358" s="1" t="s">
        <v>17</v>
      </c>
      <c r="G358" s="1">
        <v>179549852603.408</v>
      </c>
    </row>
    <row ht="13.8" outlineLevel="0" r="359">
      <c r="A359" s="1" t="s">
        <v>29</v>
      </c>
      <c r="B359" s="1" t="s">
        <v>30</v>
      </c>
      <c r="C359" s="1" t="s">
        <v>31</v>
      </c>
      <c r="D359" s="3">
        <v>43282</v>
      </c>
      <c r="E359" s="1" t="s">
        <v>16</v>
      </c>
      <c r="F359" s="1" t="s">
        <v>17</v>
      </c>
      <c r="G359" s="1">
        <v>199446151749.93</v>
      </c>
    </row>
    <row ht="13.8" outlineLevel="0" r="360">
      <c r="A360" s="1" t="s">
        <v>32</v>
      </c>
      <c r="B360" s="1" t="s">
        <v>33</v>
      </c>
      <c r="C360" s="1" t="s">
        <v>34</v>
      </c>
      <c r="D360" s="3">
        <v>43282</v>
      </c>
      <c r="E360" s="1" t="s">
        <v>16</v>
      </c>
      <c r="F360" s="1" t="s">
        <v>17</v>
      </c>
      <c r="G360" s="1">
        <v>5593188891.8258</v>
      </c>
    </row>
    <row ht="13.8" outlineLevel="0" r="361">
      <c r="A361" s="1" t="s">
        <v>35</v>
      </c>
      <c r="B361" s="1" t="s">
        <v>36</v>
      </c>
      <c r="C361" s="1" t="s">
        <v>37</v>
      </c>
      <c r="D361" s="3">
        <v>43282</v>
      </c>
      <c r="E361" s="1" t="s">
        <v>16</v>
      </c>
      <c r="F361" s="1" t="s">
        <v>17</v>
      </c>
      <c r="G361" s="1">
        <v>32038879696.27</v>
      </c>
    </row>
    <row ht="13.8" outlineLevel="0" r="362">
      <c r="A362" s="1" t="s">
        <v>26</v>
      </c>
      <c r="B362" s="1" t="s">
        <v>27</v>
      </c>
      <c r="C362" s="1" t="s">
        <v>28</v>
      </c>
      <c r="D362" s="3">
        <v>43282</v>
      </c>
      <c r="E362" s="1" t="s">
        <v>18</v>
      </c>
      <c r="F362" s="1" t="s">
        <v>19</v>
      </c>
      <c r="G362" s="1">
        <v>177930688115.778</v>
      </c>
    </row>
    <row ht="13.8" outlineLevel="0" r="363">
      <c r="A363" s="1" t="s">
        <v>29</v>
      </c>
      <c r="B363" s="1" t="s">
        <v>30</v>
      </c>
      <c r="C363" s="1" t="s">
        <v>31</v>
      </c>
      <c r="D363" s="3">
        <v>43282</v>
      </c>
      <c r="E363" s="1" t="s">
        <v>18</v>
      </c>
      <c r="F363" s="1" t="s">
        <v>19</v>
      </c>
      <c r="G363" s="1">
        <v>199446151749.93</v>
      </c>
    </row>
    <row ht="13.8" outlineLevel="0" r="364">
      <c r="A364" s="1" t="s">
        <v>32</v>
      </c>
      <c r="B364" s="1" t="s">
        <v>33</v>
      </c>
      <c r="C364" s="1" t="s">
        <v>34</v>
      </c>
      <c r="D364" s="3">
        <v>43282</v>
      </c>
      <c r="E364" s="1" t="s">
        <v>18</v>
      </c>
      <c r="F364" s="1" t="s">
        <v>19</v>
      </c>
      <c r="G364" s="1">
        <v>5141475920.1035</v>
      </c>
    </row>
    <row ht="13.8" outlineLevel="0" r="365">
      <c r="A365" s="1" t="s">
        <v>35</v>
      </c>
      <c r="B365" s="1" t="s">
        <v>36</v>
      </c>
      <c r="C365" s="1" t="s">
        <v>37</v>
      </c>
      <c r="D365" s="3">
        <v>43282</v>
      </c>
      <c r="E365" s="1" t="s">
        <v>18</v>
      </c>
      <c r="F365" s="1" t="s">
        <v>19</v>
      </c>
      <c r="G365" s="1">
        <v>31877767274.06</v>
      </c>
    </row>
    <row ht="13.8" outlineLevel="0" r="366">
      <c r="A366" s="1" t="s">
        <v>26</v>
      </c>
      <c r="B366" s="1" t="s">
        <v>27</v>
      </c>
      <c r="C366" s="1" t="s">
        <v>28</v>
      </c>
      <c r="D366" s="3">
        <v>43313</v>
      </c>
      <c r="E366" s="1" t="s">
        <v>10</v>
      </c>
      <c r="F366" s="1" t="s">
        <v>11</v>
      </c>
      <c r="G366" s="1">
        <v>328180910587</v>
      </c>
    </row>
    <row ht="13.8" outlineLevel="0" r="367">
      <c r="A367" s="1" t="s">
        <v>29</v>
      </c>
      <c r="B367" s="1" t="s">
        <v>30</v>
      </c>
      <c r="C367" s="1" t="s">
        <v>31</v>
      </c>
      <c r="D367" s="3">
        <v>43313</v>
      </c>
      <c r="E367" s="1" t="s">
        <v>10</v>
      </c>
      <c r="F367" s="1" t="s">
        <v>11</v>
      </c>
      <c r="G367" s="1">
        <v>366261169940</v>
      </c>
    </row>
    <row ht="13.8" outlineLevel="0" r="368">
      <c r="A368" s="1" t="s">
        <v>32</v>
      </c>
      <c r="B368" s="1" t="s">
        <v>33</v>
      </c>
      <c r="C368" s="1" t="s">
        <v>34</v>
      </c>
      <c r="D368" s="3">
        <v>43313</v>
      </c>
      <c r="E368" s="1" t="s">
        <v>10</v>
      </c>
      <c r="F368" s="1" t="s">
        <v>11</v>
      </c>
      <c r="G368" s="1">
        <v>42772284665</v>
      </c>
    </row>
    <row ht="13.8" outlineLevel="0" r="369">
      <c r="A369" s="1" t="s">
        <v>35</v>
      </c>
      <c r="B369" s="1" t="s">
        <v>36</v>
      </c>
      <c r="C369" s="1" t="s">
        <v>37</v>
      </c>
      <c r="D369" s="3">
        <v>43313</v>
      </c>
      <c r="E369" s="1" t="s">
        <v>10</v>
      </c>
      <c r="F369" s="1" t="s">
        <v>11</v>
      </c>
      <c r="G369" s="1">
        <v>80370086878</v>
      </c>
    </row>
    <row ht="13.8" outlineLevel="0" r="370">
      <c r="A370" s="1" t="s">
        <v>38</v>
      </c>
      <c r="B370" s="1" t="s">
        <v>39</v>
      </c>
      <c r="C370" s="1" t="s">
        <v>40</v>
      </c>
      <c r="D370" s="3">
        <v>43313</v>
      </c>
      <c r="E370" s="1" t="s">
        <v>10</v>
      </c>
      <c r="F370" s="1" t="s">
        <v>11</v>
      </c>
      <c r="G370" s="1">
        <v>19323661720</v>
      </c>
    </row>
    <row ht="13.8" outlineLevel="0" r="371">
      <c r="A371" s="1" t="s">
        <v>26</v>
      </c>
      <c r="B371" s="1" t="s">
        <v>27</v>
      </c>
      <c r="C371" s="1" t="s">
        <v>28</v>
      </c>
      <c r="D371" s="3">
        <v>43313</v>
      </c>
      <c r="E371" s="1" t="s">
        <v>14</v>
      </c>
      <c r="F371" s="1" t="s">
        <v>15</v>
      </c>
      <c r="G371" s="1">
        <v>273444914934.354</v>
      </c>
    </row>
    <row ht="13.8" outlineLevel="0" r="372">
      <c r="A372" s="1" t="s">
        <v>29</v>
      </c>
      <c r="B372" s="1" t="s">
        <v>30</v>
      </c>
      <c r="C372" s="1" t="s">
        <v>31</v>
      </c>
      <c r="D372" s="3">
        <v>43313</v>
      </c>
      <c r="E372" s="1" t="s">
        <v>14</v>
      </c>
      <c r="F372" s="1" t="s">
        <v>15</v>
      </c>
      <c r="G372" s="1">
        <v>349807494473.63</v>
      </c>
    </row>
    <row ht="13.8" outlineLevel="0" r="373">
      <c r="A373" s="1" t="s">
        <v>32</v>
      </c>
      <c r="B373" s="1" t="s">
        <v>33</v>
      </c>
      <c r="C373" s="1" t="s">
        <v>34</v>
      </c>
      <c r="D373" s="3">
        <v>43313</v>
      </c>
      <c r="E373" s="1" t="s">
        <v>14</v>
      </c>
      <c r="F373" s="1" t="s">
        <v>15</v>
      </c>
      <c r="G373" s="1">
        <v>27321189308.183</v>
      </c>
    </row>
    <row ht="13.8" outlineLevel="0" r="374">
      <c r="A374" s="1" t="s">
        <v>35</v>
      </c>
      <c r="B374" s="1" t="s">
        <v>36</v>
      </c>
      <c r="C374" s="1" t="s">
        <v>37</v>
      </c>
      <c r="D374" s="3">
        <v>43313</v>
      </c>
      <c r="E374" s="1" t="s">
        <v>14</v>
      </c>
      <c r="F374" s="1" t="s">
        <v>15</v>
      </c>
      <c r="G374" s="1">
        <v>61740422441.04</v>
      </c>
    </row>
    <row ht="13.8" outlineLevel="0" r="375">
      <c r="A375" s="1" t="s">
        <v>26</v>
      </c>
      <c r="B375" s="1" t="s">
        <v>27</v>
      </c>
      <c r="C375" s="1" t="s">
        <v>28</v>
      </c>
      <c r="D375" s="3">
        <v>43313</v>
      </c>
      <c r="E375" s="1" t="s">
        <v>16</v>
      </c>
      <c r="F375" s="1" t="s">
        <v>17</v>
      </c>
      <c r="G375" s="1">
        <v>204458274326.06</v>
      </c>
    </row>
    <row ht="13.8" outlineLevel="0" r="376">
      <c r="A376" s="1" t="s">
        <v>29</v>
      </c>
      <c r="B376" s="1" t="s">
        <v>30</v>
      </c>
      <c r="C376" s="1" t="s">
        <v>31</v>
      </c>
      <c r="D376" s="3">
        <v>43313</v>
      </c>
      <c r="E376" s="1" t="s">
        <v>16</v>
      </c>
      <c r="F376" s="1" t="s">
        <v>17</v>
      </c>
      <c r="G376" s="1">
        <v>220202697220.83</v>
      </c>
    </row>
    <row ht="13.8" outlineLevel="0" r="377">
      <c r="A377" s="1" t="s">
        <v>32</v>
      </c>
      <c r="B377" s="1" t="s">
        <v>33</v>
      </c>
      <c r="C377" s="1" t="s">
        <v>34</v>
      </c>
      <c r="D377" s="3">
        <v>43313</v>
      </c>
      <c r="E377" s="1" t="s">
        <v>16</v>
      </c>
      <c r="F377" s="1" t="s">
        <v>17</v>
      </c>
      <c r="G377" s="1">
        <v>7304081718.413</v>
      </c>
    </row>
    <row ht="13.8" outlineLevel="0" r="378">
      <c r="A378" s="1" t="s">
        <v>35</v>
      </c>
      <c r="B378" s="1" t="s">
        <v>36</v>
      </c>
      <c r="C378" s="1" t="s">
        <v>37</v>
      </c>
      <c r="D378" s="3">
        <v>43313</v>
      </c>
      <c r="E378" s="1" t="s">
        <v>16</v>
      </c>
      <c r="F378" s="1" t="s">
        <v>17</v>
      </c>
      <c r="G378" s="1">
        <v>37769977827.76</v>
      </c>
    </row>
    <row ht="13.8" outlineLevel="0" r="379">
      <c r="A379" s="1" t="s">
        <v>26</v>
      </c>
      <c r="B379" s="1" t="s">
        <v>27</v>
      </c>
      <c r="C379" s="1" t="s">
        <v>28</v>
      </c>
      <c r="D379" s="3">
        <v>43313</v>
      </c>
      <c r="E379" s="1" t="s">
        <v>18</v>
      </c>
      <c r="F379" s="1" t="s">
        <v>19</v>
      </c>
      <c r="G379" s="1">
        <v>203037554245.388</v>
      </c>
    </row>
    <row ht="13.8" outlineLevel="0" r="380">
      <c r="A380" s="1" t="s">
        <v>29</v>
      </c>
      <c r="B380" s="1" t="s">
        <v>30</v>
      </c>
      <c r="C380" s="1" t="s">
        <v>31</v>
      </c>
      <c r="D380" s="3">
        <v>43313</v>
      </c>
      <c r="E380" s="1" t="s">
        <v>18</v>
      </c>
      <c r="F380" s="1" t="s">
        <v>19</v>
      </c>
      <c r="G380" s="1">
        <v>220202697220.83</v>
      </c>
    </row>
    <row ht="13.8" outlineLevel="0" r="381">
      <c r="A381" s="1" t="s">
        <v>32</v>
      </c>
      <c r="B381" s="1" t="s">
        <v>33</v>
      </c>
      <c r="C381" s="1" t="s">
        <v>34</v>
      </c>
      <c r="D381" s="3">
        <v>43313</v>
      </c>
      <c r="E381" s="1" t="s">
        <v>18</v>
      </c>
      <c r="F381" s="1" t="s">
        <v>19</v>
      </c>
      <c r="G381" s="1">
        <v>6837854922.723</v>
      </c>
    </row>
    <row ht="13.8" outlineLevel="0" r="382">
      <c r="A382" s="1" t="s">
        <v>35</v>
      </c>
      <c r="B382" s="1" t="s">
        <v>36</v>
      </c>
      <c r="C382" s="1" t="s">
        <v>37</v>
      </c>
      <c r="D382" s="3">
        <v>43313</v>
      </c>
      <c r="E382" s="1" t="s">
        <v>18</v>
      </c>
      <c r="F382" s="1" t="s">
        <v>19</v>
      </c>
      <c r="G382" s="1">
        <v>37458276576.78</v>
      </c>
    </row>
    <row ht="13.8" outlineLevel="0" r="383">
      <c r="A383" s="1" t="s">
        <v>26</v>
      </c>
      <c r="B383" s="1" t="s">
        <v>27</v>
      </c>
      <c r="C383" s="1" t="s">
        <v>28</v>
      </c>
      <c r="D383" s="3">
        <v>43344</v>
      </c>
      <c r="E383" s="1" t="s">
        <v>10</v>
      </c>
      <c r="F383" s="1" t="s">
        <v>11</v>
      </c>
      <c r="G383" s="1">
        <v>328182484482</v>
      </c>
    </row>
    <row ht="13.8" outlineLevel="0" r="384">
      <c r="A384" s="1" t="s">
        <v>29</v>
      </c>
      <c r="B384" s="1" t="s">
        <v>30</v>
      </c>
      <c r="C384" s="1" t="s">
        <v>31</v>
      </c>
      <c r="D384" s="3">
        <v>43344</v>
      </c>
      <c r="E384" s="1" t="s">
        <v>10</v>
      </c>
      <c r="F384" s="1" t="s">
        <v>11</v>
      </c>
      <c r="G384" s="1">
        <v>366261169940</v>
      </c>
    </row>
    <row ht="13.8" outlineLevel="0" r="385">
      <c r="A385" s="1" t="s">
        <v>32</v>
      </c>
      <c r="B385" s="1" t="s">
        <v>33</v>
      </c>
      <c r="C385" s="1" t="s">
        <v>34</v>
      </c>
      <c r="D385" s="3">
        <v>43344</v>
      </c>
      <c r="E385" s="1" t="s">
        <v>10</v>
      </c>
      <c r="F385" s="1" t="s">
        <v>11</v>
      </c>
      <c r="G385" s="1">
        <v>42725597982.98</v>
      </c>
    </row>
    <row ht="13.8" outlineLevel="0" r="386">
      <c r="A386" s="1" t="s">
        <v>35</v>
      </c>
      <c r="B386" s="1" t="s">
        <v>36</v>
      </c>
      <c r="C386" s="1" t="s">
        <v>37</v>
      </c>
      <c r="D386" s="3">
        <v>43344</v>
      </c>
      <c r="E386" s="1" t="s">
        <v>10</v>
      </c>
      <c r="F386" s="1" t="s">
        <v>11</v>
      </c>
      <c r="G386" s="1">
        <v>80297386878</v>
      </c>
    </row>
    <row ht="13.8" outlineLevel="0" r="387">
      <c r="A387" s="1" t="s">
        <v>38</v>
      </c>
      <c r="B387" s="1" t="s">
        <v>39</v>
      </c>
      <c r="C387" s="1" t="s">
        <v>40</v>
      </c>
      <c r="D387" s="3">
        <v>43344</v>
      </c>
      <c r="E387" s="1" t="s">
        <v>10</v>
      </c>
      <c r="F387" s="1" t="s">
        <v>11</v>
      </c>
      <c r="G387" s="1">
        <v>19323661720</v>
      </c>
    </row>
    <row ht="13.8" outlineLevel="0" r="388">
      <c r="A388" s="1" t="s">
        <v>26</v>
      </c>
      <c r="B388" s="1" t="s">
        <v>27</v>
      </c>
      <c r="C388" s="1" t="s">
        <v>28</v>
      </c>
      <c r="D388" s="3">
        <v>43344</v>
      </c>
      <c r="E388" s="1" t="s">
        <v>14</v>
      </c>
      <c r="F388" s="1" t="s">
        <v>15</v>
      </c>
      <c r="G388" s="1">
        <v>282680336771.027</v>
      </c>
    </row>
    <row ht="13.8" outlineLevel="0" r="389">
      <c r="A389" s="1" t="s">
        <v>29</v>
      </c>
      <c r="B389" s="1" t="s">
        <v>30</v>
      </c>
      <c r="C389" s="1" t="s">
        <v>31</v>
      </c>
      <c r="D389" s="3">
        <v>43344</v>
      </c>
      <c r="E389" s="1" t="s">
        <v>14</v>
      </c>
      <c r="F389" s="1" t="s">
        <v>15</v>
      </c>
      <c r="G389" s="1">
        <v>347874979715.57</v>
      </c>
    </row>
    <row ht="13.8" outlineLevel="0" r="390">
      <c r="A390" s="1" t="s">
        <v>32</v>
      </c>
      <c r="B390" s="1" t="s">
        <v>33</v>
      </c>
      <c r="C390" s="1" t="s">
        <v>34</v>
      </c>
      <c r="D390" s="3">
        <v>43344</v>
      </c>
      <c r="E390" s="1" t="s">
        <v>14</v>
      </c>
      <c r="F390" s="1" t="s">
        <v>15</v>
      </c>
      <c r="G390" s="1">
        <v>28981370182.8164</v>
      </c>
    </row>
    <row ht="13.8" outlineLevel="0" r="391">
      <c r="A391" s="1" t="s">
        <v>35</v>
      </c>
      <c r="B391" s="1" t="s">
        <v>36</v>
      </c>
      <c r="C391" s="1" t="s">
        <v>37</v>
      </c>
      <c r="D391" s="3">
        <v>43344</v>
      </c>
      <c r="E391" s="1" t="s">
        <v>14</v>
      </c>
      <c r="F391" s="1" t="s">
        <v>15</v>
      </c>
      <c r="G391" s="1">
        <v>61882447876.29</v>
      </c>
    </row>
    <row ht="13.8" outlineLevel="0" r="392">
      <c r="A392" s="1" t="s">
        <v>26</v>
      </c>
      <c r="B392" s="1" t="s">
        <v>27</v>
      </c>
      <c r="C392" s="1" t="s">
        <v>28</v>
      </c>
      <c r="D392" s="3">
        <v>43344</v>
      </c>
      <c r="E392" s="1" t="s">
        <v>16</v>
      </c>
      <c r="F392" s="1" t="s">
        <v>17</v>
      </c>
      <c r="G392" s="1">
        <v>228441291889.264</v>
      </c>
    </row>
    <row ht="13.8" outlineLevel="0" r="393">
      <c r="A393" s="1" t="s">
        <v>29</v>
      </c>
      <c r="B393" s="1" t="s">
        <v>30</v>
      </c>
      <c r="C393" s="1" t="s">
        <v>31</v>
      </c>
      <c r="D393" s="3">
        <v>43344</v>
      </c>
      <c r="E393" s="1" t="s">
        <v>16</v>
      </c>
      <c r="F393" s="1" t="s">
        <v>17</v>
      </c>
      <c r="G393" s="1">
        <v>239185038287.49</v>
      </c>
    </row>
    <row ht="13.8" outlineLevel="0" r="394">
      <c r="A394" s="1" t="s">
        <v>32</v>
      </c>
      <c r="B394" s="1" t="s">
        <v>33</v>
      </c>
      <c r="C394" s="1" t="s">
        <v>34</v>
      </c>
      <c r="D394" s="3">
        <v>43344</v>
      </c>
      <c r="E394" s="1" t="s">
        <v>16</v>
      </c>
      <c r="F394" s="1" t="s">
        <v>17</v>
      </c>
      <c r="G394" s="1">
        <v>8827201075.1392</v>
      </c>
    </row>
    <row ht="13.8" outlineLevel="0" r="395">
      <c r="A395" s="1" t="s">
        <v>35</v>
      </c>
      <c r="B395" s="1" t="s">
        <v>36</v>
      </c>
      <c r="C395" s="1" t="s">
        <v>37</v>
      </c>
      <c r="D395" s="3">
        <v>43344</v>
      </c>
      <c r="E395" s="1" t="s">
        <v>16</v>
      </c>
      <c r="F395" s="1" t="s">
        <v>17</v>
      </c>
      <c r="G395" s="1">
        <v>41750393362.76</v>
      </c>
    </row>
    <row ht="13.8" outlineLevel="0" r="396">
      <c r="A396" s="1" t="s">
        <v>26</v>
      </c>
      <c r="B396" s="1" t="s">
        <v>27</v>
      </c>
      <c r="C396" s="1" t="s">
        <v>28</v>
      </c>
      <c r="D396" s="3">
        <v>43344</v>
      </c>
      <c r="E396" s="1" t="s">
        <v>18</v>
      </c>
      <c r="F396" s="1" t="s">
        <v>19</v>
      </c>
      <c r="G396" s="1">
        <v>226934162569.214</v>
      </c>
    </row>
    <row ht="13.8" outlineLevel="0" r="397">
      <c r="A397" s="1" t="s">
        <v>29</v>
      </c>
      <c r="B397" s="1" t="s">
        <v>30</v>
      </c>
      <c r="C397" s="1" t="s">
        <v>31</v>
      </c>
      <c r="D397" s="3">
        <v>43344</v>
      </c>
      <c r="E397" s="1" t="s">
        <v>18</v>
      </c>
      <c r="F397" s="1" t="s">
        <v>19</v>
      </c>
      <c r="G397" s="1">
        <v>239185038287.49</v>
      </c>
    </row>
    <row ht="13.8" outlineLevel="0" r="398">
      <c r="A398" s="1" t="s">
        <v>32</v>
      </c>
      <c r="B398" s="1" t="s">
        <v>33</v>
      </c>
      <c r="C398" s="1" t="s">
        <v>34</v>
      </c>
      <c r="D398" s="3">
        <v>43344</v>
      </c>
      <c r="E398" s="1" t="s">
        <v>18</v>
      </c>
      <c r="F398" s="1" t="s">
        <v>19</v>
      </c>
      <c r="G398" s="1">
        <v>8364439685.0544</v>
      </c>
    </row>
    <row ht="13.8" outlineLevel="0" r="399">
      <c r="A399" s="1" t="s">
        <v>35</v>
      </c>
      <c r="B399" s="1" t="s">
        <v>36</v>
      </c>
      <c r="C399" s="1" t="s">
        <v>37</v>
      </c>
      <c r="D399" s="3">
        <v>43344</v>
      </c>
      <c r="E399" s="1" t="s">
        <v>18</v>
      </c>
      <c r="F399" s="1" t="s">
        <v>19</v>
      </c>
      <c r="G399" s="1">
        <v>41740376315.17</v>
      </c>
    </row>
    <row ht="13.8" outlineLevel="0" r="400">
      <c r="A400" s="1" t="s">
        <v>26</v>
      </c>
      <c r="B400" s="1" t="s">
        <v>27</v>
      </c>
      <c r="C400" s="1" t="s">
        <v>28</v>
      </c>
      <c r="D400" s="3">
        <v>43374</v>
      </c>
      <c r="E400" s="1" t="s">
        <v>10</v>
      </c>
      <c r="F400" s="1" t="s">
        <v>11</v>
      </c>
      <c r="G400" s="1">
        <v>327399207989</v>
      </c>
    </row>
    <row ht="13.8" outlineLevel="0" r="401">
      <c r="A401" s="1" t="s">
        <v>29</v>
      </c>
      <c r="B401" s="1" t="s">
        <v>30</v>
      </c>
      <c r="C401" s="1" t="s">
        <v>31</v>
      </c>
      <c r="D401" s="3">
        <v>43374</v>
      </c>
      <c r="E401" s="1" t="s">
        <v>10</v>
      </c>
      <c r="F401" s="1" t="s">
        <v>11</v>
      </c>
      <c r="G401" s="1">
        <v>366261169940</v>
      </c>
    </row>
    <row ht="13.8" outlineLevel="0" r="402">
      <c r="A402" s="1" t="s">
        <v>32</v>
      </c>
      <c r="B402" s="1" t="s">
        <v>33</v>
      </c>
      <c r="C402" s="1" t="s">
        <v>34</v>
      </c>
      <c r="D402" s="3">
        <v>43374</v>
      </c>
      <c r="E402" s="1" t="s">
        <v>10</v>
      </c>
      <c r="F402" s="1" t="s">
        <v>11</v>
      </c>
      <c r="G402" s="1">
        <v>43333726276.97</v>
      </c>
    </row>
    <row ht="13.8" outlineLevel="0" r="403">
      <c r="A403" s="1" t="s">
        <v>35</v>
      </c>
      <c r="B403" s="1" t="s">
        <v>36</v>
      </c>
      <c r="C403" s="1" t="s">
        <v>37</v>
      </c>
      <c r="D403" s="3">
        <v>43374</v>
      </c>
      <c r="E403" s="1" t="s">
        <v>10</v>
      </c>
      <c r="F403" s="1" t="s">
        <v>11</v>
      </c>
      <c r="G403" s="1">
        <v>80256052007</v>
      </c>
    </row>
    <row ht="13.8" outlineLevel="0" r="404">
      <c r="A404" s="1" t="s">
        <v>38</v>
      </c>
      <c r="B404" s="1" t="s">
        <v>39</v>
      </c>
      <c r="C404" s="1" t="s">
        <v>40</v>
      </c>
      <c r="D404" s="3">
        <v>43374</v>
      </c>
      <c r="E404" s="1" t="s">
        <v>10</v>
      </c>
      <c r="F404" s="1" t="s">
        <v>11</v>
      </c>
      <c r="G404" s="1">
        <v>19297075839</v>
      </c>
    </row>
    <row ht="13.8" outlineLevel="0" r="405">
      <c r="A405" s="1" t="s">
        <v>26</v>
      </c>
      <c r="B405" s="1" t="s">
        <v>27</v>
      </c>
      <c r="C405" s="1" t="s">
        <v>28</v>
      </c>
      <c r="D405" s="3">
        <v>43374</v>
      </c>
      <c r="E405" s="1" t="s">
        <v>14</v>
      </c>
      <c r="F405" s="1" t="s">
        <v>15</v>
      </c>
      <c r="G405" s="1">
        <v>297705224540.776</v>
      </c>
    </row>
    <row ht="13.8" outlineLevel="0" r="406">
      <c r="A406" s="1" t="s">
        <v>29</v>
      </c>
      <c r="B406" s="1" t="s">
        <v>30</v>
      </c>
      <c r="C406" s="1" t="s">
        <v>31</v>
      </c>
      <c r="D406" s="3">
        <v>43374</v>
      </c>
      <c r="E406" s="1" t="s">
        <v>14</v>
      </c>
      <c r="F406" s="1" t="s">
        <v>15</v>
      </c>
      <c r="G406" s="1">
        <v>331253414144.2</v>
      </c>
    </row>
    <row ht="13.8" outlineLevel="0" r="407">
      <c r="A407" s="1" t="s">
        <v>32</v>
      </c>
      <c r="B407" s="1" t="s">
        <v>33</v>
      </c>
      <c r="C407" s="1" t="s">
        <v>34</v>
      </c>
      <c r="D407" s="3">
        <v>43374</v>
      </c>
      <c r="E407" s="1" t="s">
        <v>14</v>
      </c>
      <c r="F407" s="1" t="s">
        <v>15</v>
      </c>
      <c r="G407" s="1">
        <v>30675552292.8145</v>
      </c>
    </row>
    <row ht="13.8" outlineLevel="0" r="408">
      <c r="A408" s="1" t="s">
        <v>35</v>
      </c>
      <c r="B408" s="1" t="s">
        <v>36</v>
      </c>
      <c r="C408" s="1" t="s">
        <v>37</v>
      </c>
      <c r="D408" s="3">
        <v>43374</v>
      </c>
      <c r="E408" s="1" t="s">
        <v>14</v>
      </c>
      <c r="F408" s="1" t="s">
        <v>15</v>
      </c>
      <c r="G408" s="1">
        <v>66575039871.33</v>
      </c>
    </row>
    <row ht="13.8" outlineLevel="0" r="409">
      <c r="A409" s="1" t="s">
        <v>26</v>
      </c>
      <c r="B409" s="1" t="s">
        <v>27</v>
      </c>
      <c r="C409" s="1" t="s">
        <v>28</v>
      </c>
      <c r="D409" s="3">
        <v>43374</v>
      </c>
      <c r="E409" s="1" t="s">
        <v>16</v>
      </c>
      <c r="F409" s="1" t="s">
        <v>17</v>
      </c>
      <c r="G409" s="1">
        <v>252547445059.197</v>
      </c>
    </row>
    <row ht="13.8" outlineLevel="0" r="410">
      <c r="A410" s="1" t="s">
        <v>29</v>
      </c>
      <c r="B410" s="1" t="s">
        <v>30</v>
      </c>
      <c r="C410" s="1" t="s">
        <v>31</v>
      </c>
      <c r="D410" s="3">
        <v>43374</v>
      </c>
      <c r="E410" s="1" t="s">
        <v>16</v>
      </c>
      <c r="F410" s="1" t="s">
        <v>17</v>
      </c>
      <c r="G410" s="1">
        <v>255422839186.58</v>
      </c>
    </row>
    <row ht="13.8" outlineLevel="0" r="411">
      <c r="A411" s="1" t="s">
        <v>32</v>
      </c>
      <c r="B411" s="1" t="s">
        <v>33</v>
      </c>
      <c r="C411" s="1" t="s">
        <v>34</v>
      </c>
      <c r="D411" s="3">
        <v>43374</v>
      </c>
      <c r="E411" s="1" t="s">
        <v>16</v>
      </c>
      <c r="F411" s="1" t="s">
        <v>17</v>
      </c>
      <c r="G411" s="1">
        <v>11098105996.8319</v>
      </c>
    </row>
    <row ht="13.8" outlineLevel="0" r="412">
      <c r="A412" s="1" t="s">
        <v>35</v>
      </c>
      <c r="B412" s="1" t="s">
        <v>36</v>
      </c>
      <c r="C412" s="1" t="s">
        <v>37</v>
      </c>
      <c r="D412" s="3">
        <v>43374</v>
      </c>
      <c r="E412" s="1" t="s">
        <v>16</v>
      </c>
      <c r="F412" s="1" t="s">
        <v>17</v>
      </c>
      <c r="G412" s="1">
        <v>48260348692.75</v>
      </c>
    </row>
    <row ht="13.8" outlineLevel="0" r="413">
      <c r="A413" s="1" t="s">
        <v>26</v>
      </c>
      <c r="B413" s="1" t="s">
        <v>27</v>
      </c>
      <c r="C413" s="1" t="s">
        <v>28</v>
      </c>
      <c r="D413" s="3">
        <v>43374</v>
      </c>
      <c r="E413" s="1" t="s">
        <v>18</v>
      </c>
      <c r="F413" s="1" t="s">
        <v>19</v>
      </c>
      <c r="G413" s="1">
        <v>251075509052.317</v>
      </c>
    </row>
    <row ht="13.8" outlineLevel="0" r="414">
      <c r="A414" s="1" t="s">
        <v>29</v>
      </c>
      <c r="B414" s="1" t="s">
        <v>30</v>
      </c>
      <c r="C414" s="1" t="s">
        <v>31</v>
      </c>
      <c r="D414" s="3">
        <v>43374</v>
      </c>
      <c r="E414" s="1" t="s">
        <v>18</v>
      </c>
      <c r="F414" s="1" t="s">
        <v>19</v>
      </c>
      <c r="G414" s="1">
        <v>255422839186.58</v>
      </c>
    </row>
    <row ht="13.8" outlineLevel="0" r="415">
      <c r="A415" s="1" t="s">
        <v>32</v>
      </c>
      <c r="B415" s="1" t="s">
        <v>33</v>
      </c>
      <c r="C415" s="1" t="s">
        <v>34</v>
      </c>
      <c r="D415" s="3">
        <v>43374</v>
      </c>
      <c r="E415" s="1" t="s">
        <v>18</v>
      </c>
      <c r="F415" s="1" t="s">
        <v>19</v>
      </c>
      <c r="G415" s="1">
        <v>10507002658.0343</v>
      </c>
    </row>
    <row ht="13.8" outlineLevel="0" r="416">
      <c r="A416" s="1" t="s">
        <v>35</v>
      </c>
      <c r="B416" s="1" t="s">
        <v>36</v>
      </c>
      <c r="C416" s="1" t="s">
        <v>37</v>
      </c>
      <c r="D416" s="3">
        <v>43374</v>
      </c>
      <c r="E416" s="1" t="s">
        <v>18</v>
      </c>
      <c r="F416" s="1" t="s">
        <v>19</v>
      </c>
      <c r="G416" s="1">
        <v>46809022724.15</v>
      </c>
    </row>
    <row ht="13.8" outlineLevel="0" r="417">
      <c r="A417" s="1" t="s">
        <v>26</v>
      </c>
      <c r="B417" s="1" t="s">
        <v>27</v>
      </c>
      <c r="C417" s="1" t="s">
        <v>28</v>
      </c>
      <c r="D417" s="3">
        <v>43405</v>
      </c>
      <c r="E417" s="1" t="s">
        <v>10</v>
      </c>
      <c r="F417" s="1" t="s">
        <v>11</v>
      </c>
      <c r="G417" s="1">
        <v>327824531901</v>
      </c>
    </row>
    <row ht="13.8" outlineLevel="0" r="418">
      <c r="A418" s="1" t="s">
        <v>29</v>
      </c>
      <c r="B418" s="1" t="s">
        <v>30</v>
      </c>
      <c r="C418" s="1" t="s">
        <v>31</v>
      </c>
      <c r="D418" s="3">
        <v>43405</v>
      </c>
      <c r="E418" s="1" t="s">
        <v>10</v>
      </c>
      <c r="F418" s="1" t="s">
        <v>11</v>
      </c>
      <c r="G418" s="1">
        <v>366262995584</v>
      </c>
    </row>
    <row ht="13.8" outlineLevel="0" r="419">
      <c r="A419" s="1" t="s">
        <v>32</v>
      </c>
      <c r="B419" s="1" t="s">
        <v>33</v>
      </c>
      <c r="C419" s="1" t="s">
        <v>34</v>
      </c>
      <c r="D419" s="3">
        <v>43405</v>
      </c>
      <c r="E419" s="1" t="s">
        <v>10</v>
      </c>
      <c r="F419" s="1" t="s">
        <v>11</v>
      </c>
      <c r="G419" s="1">
        <v>44118215045.95</v>
      </c>
    </row>
    <row ht="13.8" outlineLevel="0" r="420">
      <c r="A420" s="1" t="s">
        <v>35</v>
      </c>
      <c r="B420" s="1" t="s">
        <v>36</v>
      </c>
      <c r="C420" s="1" t="s">
        <v>37</v>
      </c>
      <c r="D420" s="3">
        <v>43405</v>
      </c>
      <c r="E420" s="1" t="s">
        <v>10</v>
      </c>
      <c r="F420" s="1" t="s">
        <v>11</v>
      </c>
      <c r="G420" s="1">
        <v>82205616913</v>
      </c>
    </row>
    <row ht="13.8" outlineLevel="0" r="421">
      <c r="A421" s="1" t="s">
        <v>38</v>
      </c>
      <c r="B421" s="1" t="s">
        <v>39</v>
      </c>
      <c r="C421" s="1" t="s">
        <v>40</v>
      </c>
      <c r="D421" s="3">
        <v>43405</v>
      </c>
      <c r="E421" s="1" t="s">
        <v>10</v>
      </c>
      <c r="F421" s="1" t="s">
        <v>11</v>
      </c>
      <c r="G421" s="1">
        <v>19787653421</v>
      </c>
    </row>
    <row ht="13.8" outlineLevel="0" r="422">
      <c r="A422" s="1" t="s">
        <v>26</v>
      </c>
      <c r="B422" s="1" t="s">
        <v>27</v>
      </c>
      <c r="C422" s="1" t="s">
        <v>28</v>
      </c>
      <c r="D422" s="3">
        <v>43405</v>
      </c>
      <c r="E422" s="1" t="s">
        <v>14</v>
      </c>
      <c r="F422" s="1" t="s">
        <v>15</v>
      </c>
      <c r="G422" s="1">
        <v>311650789210.667</v>
      </c>
    </row>
    <row ht="13.8" outlineLevel="0" r="423">
      <c r="A423" s="1" t="s">
        <v>29</v>
      </c>
      <c r="B423" s="1" t="s">
        <v>30</v>
      </c>
      <c r="C423" s="1" t="s">
        <v>31</v>
      </c>
      <c r="D423" s="3">
        <v>43405</v>
      </c>
      <c r="E423" s="1" t="s">
        <v>14</v>
      </c>
      <c r="F423" s="1" t="s">
        <v>15</v>
      </c>
      <c r="G423" s="1">
        <v>349466212598.8</v>
      </c>
    </row>
    <row ht="13.8" outlineLevel="0" r="424">
      <c r="A424" s="1" t="s">
        <v>32</v>
      </c>
      <c r="B424" s="1" t="s">
        <v>33</v>
      </c>
      <c r="C424" s="1" t="s">
        <v>34</v>
      </c>
      <c r="D424" s="3">
        <v>43405</v>
      </c>
      <c r="E424" s="1" t="s">
        <v>14</v>
      </c>
      <c r="F424" s="1" t="s">
        <v>15</v>
      </c>
      <c r="G424" s="1">
        <v>35022467848.1167</v>
      </c>
    </row>
    <row ht="13.8" outlineLevel="0" r="425">
      <c r="A425" s="1" t="s">
        <v>35</v>
      </c>
      <c r="B425" s="1" t="s">
        <v>36</v>
      </c>
      <c r="C425" s="1" t="s">
        <v>37</v>
      </c>
      <c r="D425" s="3">
        <v>43405</v>
      </c>
      <c r="E425" s="1" t="s">
        <v>14</v>
      </c>
      <c r="F425" s="1" t="s">
        <v>15</v>
      </c>
      <c r="G425" s="1">
        <v>67847714694.26</v>
      </c>
    </row>
    <row ht="13.8" outlineLevel="0" r="426">
      <c r="A426" s="1" t="s">
        <v>26</v>
      </c>
      <c r="B426" s="1" t="s">
        <v>27</v>
      </c>
      <c r="C426" s="1" t="s">
        <v>28</v>
      </c>
      <c r="D426" s="3">
        <v>43405</v>
      </c>
      <c r="E426" s="1" t="s">
        <v>16</v>
      </c>
      <c r="F426" s="1" t="s">
        <v>17</v>
      </c>
      <c r="G426" s="1">
        <v>288938278036.401</v>
      </c>
    </row>
    <row ht="13.8" outlineLevel="0" r="427">
      <c r="A427" s="1" t="s">
        <v>29</v>
      </c>
      <c r="B427" s="1" t="s">
        <v>30</v>
      </c>
      <c r="C427" s="1" t="s">
        <v>31</v>
      </c>
      <c r="D427" s="3">
        <v>43405</v>
      </c>
      <c r="E427" s="1" t="s">
        <v>16</v>
      </c>
      <c r="F427" s="1" t="s">
        <v>17</v>
      </c>
      <c r="G427" s="1">
        <v>276303454274.07</v>
      </c>
    </row>
    <row ht="13.8" outlineLevel="0" r="428">
      <c r="A428" s="1" t="s">
        <v>32</v>
      </c>
      <c r="B428" s="1" t="s">
        <v>33</v>
      </c>
      <c r="C428" s="1" t="s">
        <v>34</v>
      </c>
      <c r="D428" s="3">
        <v>43405</v>
      </c>
      <c r="E428" s="1" t="s">
        <v>16</v>
      </c>
      <c r="F428" s="1" t="s">
        <v>17</v>
      </c>
      <c r="G428" s="1">
        <v>14017852323.1635</v>
      </c>
    </row>
    <row ht="13.8" outlineLevel="0" r="429">
      <c r="A429" s="1" t="s">
        <v>35</v>
      </c>
      <c r="B429" s="1" t="s">
        <v>36</v>
      </c>
      <c r="C429" s="1" t="s">
        <v>37</v>
      </c>
      <c r="D429" s="3">
        <v>43405</v>
      </c>
      <c r="E429" s="1" t="s">
        <v>16</v>
      </c>
      <c r="F429" s="1" t="s">
        <v>17</v>
      </c>
      <c r="G429" s="1">
        <v>53099566845.24</v>
      </c>
    </row>
    <row ht="13.8" outlineLevel="0" r="430">
      <c r="A430" s="1" t="s">
        <v>26</v>
      </c>
      <c r="B430" s="1" t="s">
        <v>27</v>
      </c>
      <c r="C430" s="1" t="s">
        <v>28</v>
      </c>
      <c r="D430" s="3">
        <v>43405</v>
      </c>
      <c r="E430" s="1" t="s">
        <v>18</v>
      </c>
      <c r="F430" s="1" t="s">
        <v>19</v>
      </c>
      <c r="G430" s="1">
        <v>285790314895.941</v>
      </c>
    </row>
    <row ht="13.8" outlineLevel="0" r="431">
      <c r="A431" s="1" t="s">
        <v>29</v>
      </c>
      <c r="B431" s="1" t="s">
        <v>30</v>
      </c>
      <c r="C431" s="1" t="s">
        <v>31</v>
      </c>
      <c r="D431" s="3">
        <v>43405</v>
      </c>
      <c r="E431" s="1" t="s">
        <v>18</v>
      </c>
      <c r="F431" s="1" t="s">
        <v>19</v>
      </c>
      <c r="G431" s="1">
        <v>276303454274.07</v>
      </c>
    </row>
    <row ht="13.8" outlineLevel="0" r="432">
      <c r="A432" s="1" t="s">
        <v>32</v>
      </c>
      <c r="B432" s="1" t="s">
        <v>33</v>
      </c>
      <c r="C432" s="1" t="s">
        <v>34</v>
      </c>
      <c r="D432" s="3">
        <v>43405</v>
      </c>
      <c r="E432" s="1" t="s">
        <v>18</v>
      </c>
      <c r="F432" s="1" t="s">
        <v>19</v>
      </c>
      <c r="G432" s="1">
        <v>13171987622.2949</v>
      </c>
    </row>
    <row ht="13.8" outlineLevel="0" r="433">
      <c r="A433" s="1" t="s">
        <v>35</v>
      </c>
      <c r="B433" s="1" t="s">
        <v>36</v>
      </c>
      <c r="C433" s="1" t="s">
        <v>37</v>
      </c>
      <c r="D433" s="3">
        <v>43405</v>
      </c>
      <c r="E433" s="1" t="s">
        <v>18</v>
      </c>
      <c r="F433" s="1" t="s">
        <v>19</v>
      </c>
      <c r="G433" s="1">
        <v>51890821686.15</v>
      </c>
    </row>
    <row ht="13.8" outlineLevel="0" r="434">
      <c r="A434" s="1" t="s">
        <v>26</v>
      </c>
      <c r="B434" s="1" t="s">
        <v>27</v>
      </c>
      <c r="C434" s="1" t="s">
        <v>28</v>
      </c>
      <c r="D434" s="3">
        <v>43435</v>
      </c>
      <c r="E434" s="1" t="s">
        <v>10</v>
      </c>
      <c r="F434" s="1" t="s">
        <v>11</v>
      </c>
      <c r="G434" s="1">
        <v>328744947812</v>
      </c>
    </row>
    <row ht="13.8" outlineLevel="0" r="435">
      <c r="A435" s="1" t="s">
        <v>29</v>
      </c>
      <c r="B435" s="1" t="s">
        <v>30</v>
      </c>
      <c r="C435" s="1" t="s">
        <v>31</v>
      </c>
      <c r="D435" s="3">
        <v>43435</v>
      </c>
      <c r="E435" s="1" t="s">
        <v>10</v>
      </c>
      <c r="F435" s="1" t="s">
        <v>11</v>
      </c>
      <c r="G435" s="1">
        <v>366262995584</v>
      </c>
    </row>
    <row ht="13.8" outlineLevel="0" r="436">
      <c r="A436" s="1" t="s">
        <v>32</v>
      </c>
      <c r="B436" s="1" t="s">
        <v>33</v>
      </c>
      <c r="C436" s="1" t="s">
        <v>34</v>
      </c>
      <c r="D436" s="3">
        <v>43435</v>
      </c>
      <c r="E436" s="1" t="s">
        <v>10</v>
      </c>
      <c r="F436" s="1" t="s">
        <v>11</v>
      </c>
      <c r="G436" s="1">
        <v>45737713977.94</v>
      </c>
    </row>
    <row ht="13.8" outlineLevel="0" r="437">
      <c r="A437" s="1" t="s">
        <v>35</v>
      </c>
      <c r="B437" s="1" t="s">
        <v>36</v>
      </c>
      <c r="C437" s="1" t="s">
        <v>37</v>
      </c>
      <c r="D437" s="3">
        <v>43435</v>
      </c>
      <c r="E437" s="1" t="s">
        <v>10</v>
      </c>
      <c r="F437" s="1" t="s">
        <v>11</v>
      </c>
      <c r="G437" s="1">
        <v>84546158764</v>
      </c>
    </row>
    <row ht="13.8" outlineLevel="0" r="438">
      <c r="A438" s="1" t="s">
        <v>38</v>
      </c>
      <c r="B438" s="1" t="s">
        <v>39</v>
      </c>
      <c r="C438" s="1" t="s">
        <v>40</v>
      </c>
      <c r="D438" s="3">
        <v>43435</v>
      </c>
      <c r="E438" s="1" t="s">
        <v>10</v>
      </c>
      <c r="F438" s="1" t="s">
        <v>11</v>
      </c>
      <c r="G438" s="1">
        <v>19787653421</v>
      </c>
    </row>
    <row ht="13.8" outlineLevel="0" r="439">
      <c r="A439" s="1" t="s">
        <v>26</v>
      </c>
      <c r="B439" s="1" t="s">
        <v>27</v>
      </c>
      <c r="C439" s="1" t="s">
        <v>28</v>
      </c>
      <c r="D439" s="3">
        <v>43435</v>
      </c>
      <c r="E439" s="1" t="s">
        <v>14</v>
      </c>
      <c r="F439" s="1" t="s">
        <v>15</v>
      </c>
      <c r="G439" s="1">
        <v>317778965334.814</v>
      </c>
    </row>
    <row ht="13.8" outlineLevel="0" r="440">
      <c r="A440" s="1" t="s">
        <v>29</v>
      </c>
      <c r="B440" s="1" t="s">
        <v>30</v>
      </c>
      <c r="C440" s="1" t="s">
        <v>31</v>
      </c>
      <c r="D440" s="3">
        <v>43435</v>
      </c>
      <c r="E440" s="1" t="s">
        <v>14</v>
      </c>
      <c r="F440" s="1" t="s">
        <v>15</v>
      </c>
      <c r="G440" s="1">
        <v>279593978183.52</v>
      </c>
    </row>
    <row ht="13.8" outlineLevel="0" r="441">
      <c r="A441" s="1" t="s">
        <v>32</v>
      </c>
      <c r="B441" s="1" t="s">
        <v>33</v>
      </c>
      <c r="C441" s="1" t="s">
        <v>34</v>
      </c>
      <c r="D441" s="3">
        <v>43435</v>
      </c>
      <c r="E441" s="1" t="s">
        <v>14</v>
      </c>
      <c r="F441" s="1" t="s">
        <v>15</v>
      </c>
      <c r="G441" s="1">
        <v>44103817128.9321</v>
      </c>
    </row>
    <row ht="13.8" outlineLevel="0" r="442">
      <c r="A442" s="1" t="s">
        <v>35</v>
      </c>
      <c r="B442" s="1" t="s">
        <v>36</v>
      </c>
      <c r="C442" s="1" t="s">
        <v>37</v>
      </c>
      <c r="D442" s="3">
        <v>43435</v>
      </c>
      <c r="E442" s="1" t="s">
        <v>14</v>
      </c>
      <c r="F442" s="1" t="s">
        <v>15</v>
      </c>
      <c r="G442" s="1">
        <v>73641246723.74</v>
      </c>
    </row>
    <row ht="13.8" outlineLevel="0" r="443">
      <c r="A443" s="1" t="s">
        <v>26</v>
      </c>
      <c r="B443" s="1" t="s">
        <v>27</v>
      </c>
      <c r="C443" s="1" t="s">
        <v>28</v>
      </c>
      <c r="D443" s="3">
        <v>43435</v>
      </c>
      <c r="E443" s="1" t="s">
        <v>16</v>
      </c>
      <c r="F443" s="1" t="s">
        <v>17</v>
      </c>
      <c r="G443" s="1">
        <v>316688492100.694</v>
      </c>
    </row>
    <row ht="13.8" outlineLevel="0" r="444">
      <c r="A444" s="1" t="s">
        <v>29</v>
      </c>
      <c r="B444" s="1" t="s">
        <v>30</v>
      </c>
      <c r="C444" s="1" t="s">
        <v>31</v>
      </c>
      <c r="D444" s="3">
        <v>43435</v>
      </c>
      <c r="E444" s="1" t="s">
        <v>16</v>
      </c>
      <c r="F444" s="1" t="s">
        <v>17</v>
      </c>
      <c r="G444" s="1">
        <v>279373555248.54</v>
      </c>
    </row>
    <row ht="13.8" outlineLevel="0" r="445">
      <c r="A445" s="1" t="s">
        <v>32</v>
      </c>
      <c r="B445" s="1" t="s">
        <v>33</v>
      </c>
      <c r="C445" s="1" t="s">
        <v>34</v>
      </c>
      <c r="D445" s="3">
        <v>43435</v>
      </c>
      <c r="E445" s="1" t="s">
        <v>16</v>
      </c>
      <c r="F445" s="1" t="s">
        <v>17</v>
      </c>
      <c r="G445" s="1">
        <v>20228773427.7403</v>
      </c>
    </row>
    <row ht="13.8" outlineLevel="0" r="446">
      <c r="A446" s="1" t="s">
        <v>35</v>
      </c>
      <c r="B446" s="1" t="s">
        <v>36</v>
      </c>
      <c r="C446" s="1" t="s">
        <v>37</v>
      </c>
      <c r="D446" s="3">
        <v>43435</v>
      </c>
      <c r="E446" s="1" t="s">
        <v>16</v>
      </c>
      <c r="F446" s="1" t="s">
        <v>17</v>
      </c>
      <c r="G446" s="1">
        <v>63012455856.06</v>
      </c>
    </row>
    <row ht="13.8" outlineLevel="0" r="447">
      <c r="A447" s="1" t="s">
        <v>26</v>
      </c>
      <c r="B447" s="1" t="s">
        <v>27</v>
      </c>
      <c r="C447" s="1" t="s">
        <v>28</v>
      </c>
      <c r="D447" s="3">
        <v>43435</v>
      </c>
      <c r="E447" s="1" t="s">
        <v>20</v>
      </c>
      <c r="F447" s="1" t="s">
        <v>21</v>
      </c>
      <c r="G447" s="1">
        <v>1090473234.12</v>
      </c>
    </row>
    <row ht="13.8" outlineLevel="0" r="448">
      <c r="A448" s="1" t="s">
        <v>29</v>
      </c>
      <c r="B448" s="1" t="s">
        <v>30</v>
      </c>
      <c r="C448" s="1" t="s">
        <v>31</v>
      </c>
      <c r="D448" s="3">
        <v>43435</v>
      </c>
      <c r="E448" s="1" t="s">
        <v>20</v>
      </c>
      <c r="F448" s="1" t="s">
        <v>21</v>
      </c>
      <c r="G448" s="1">
        <v>220422934.98</v>
      </c>
    </row>
    <row ht="13.8" outlineLevel="0" r="449">
      <c r="A449" s="1" t="s">
        <v>32</v>
      </c>
      <c r="B449" s="1" t="s">
        <v>33</v>
      </c>
      <c r="C449" s="1" t="s">
        <v>34</v>
      </c>
      <c r="D449" s="3">
        <v>43435</v>
      </c>
      <c r="E449" s="1" t="s">
        <v>20</v>
      </c>
      <c r="F449" s="1" t="s">
        <v>21</v>
      </c>
      <c r="G449" s="1">
        <v>23875043701.1918</v>
      </c>
    </row>
    <row ht="13.8" outlineLevel="0" r="450">
      <c r="A450" s="1" t="s">
        <v>35</v>
      </c>
      <c r="B450" s="1" t="s">
        <v>36</v>
      </c>
      <c r="C450" s="1" t="s">
        <v>37</v>
      </c>
      <c r="D450" s="3">
        <v>43435</v>
      </c>
      <c r="E450" s="1" t="s">
        <v>20</v>
      </c>
      <c r="F450" s="1" t="s">
        <v>21</v>
      </c>
      <c r="G450" s="1">
        <v>10628790867.68</v>
      </c>
    </row>
    <row ht="13.8" outlineLevel="0" r="451">
      <c r="A451" s="1" t="s">
        <v>26</v>
      </c>
      <c r="B451" s="1" t="s">
        <v>27</v>
      </c>
      <c r="C451" s="1" t="s">
        <v>28</v>
      </c>
      <c r="D451" s="3">
        <v>43435</v>
      </c>
      <c r="E451" s="1" t="s">
        <v>18</v>
      </c>
      <c r="F451" s="1" t="s">
        <v>19</v>
      </c>
      <c r="G451" s="1">
        <v>300414615045.914</v>
      </c>
    </row>
    <row ht="13.8" outlineLevel="0" r="452">
      <c r="A452" s="1" t="s">
        <v>29</v>
      </c>
      <c r="B452" s="1" t="s">
        <v>30</v>
      </c>
      <c r="C452" s="1" t="s">
        <v>31</v>
      </c>
      <c r="D452" s="3">
        <v>43435</v>
      </c>
      <c r="E452" s="1" t="s">
        <v>18</v>
      </c>
      <c r="F452" s="1" t="s">
        <v>19</v>
      </c>
      <c r="G452" s="1">
        <v>279373243880.66</v>
      </c>
    </row>
    <row ht="13.8" outlineLevel="0" r="453">
      <c r="A453" s="1" t="s">
        <v>32</v>
      </c>
      <c r="B453" s="1" t="s">
        <v>33</v>
      </c>
      <c r="C453" s="1" t="s">
        <v>34</v>
      </c>
      <c r="D453" s="3">
        <v>43435</v>
      </c>
      <c r="E453" s="1" t="s">
        <v>18</v>
      </c>
      <c r="F453" s="1" t="s">
        <v>19</v>
      </c>
      <c r="G453" s="1">
        <v>19494430393.3453</v>
      </c>
    </row>
    <row ht="13.8" outlineLevel="0" r="454">
      <c r="A454" s="1" t="s">
        <v>35</v>
      </c>
      <c r="B454" s="1" t="s">
        <v>36</v>
      </c>
      <c r="C454" s="1" t="s">
        <v>37</v>
      </c>
      <c r="D454" s="3">
        <v>43435</v>
      </c>
      <c r="E454" s="1" t="s">
        <v>18</v>
      </c>
      <c r="F454" s="1" t="s">
        <v>19</v>
      </c>
      <c r="G454" s="1">
        <v>62591761391.01</v>
      </c>
    </row>
  </sheetData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00B050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3"/>
  <cols>
    <col min="1" max="1" width="30.37" style="202" customWidth="1"/>
    <col min="2" max="2" width="7.56" style="202" hidden="1" customWidth="1"/>
    <col min="3" max="3" width="7.29" style="202" customWidth="1"/>
    <col min="4" max="16" width="7.42" style="202" customWidth="1"/>
    <col min="17" max="17" width="7.29" style="202" customWidth="1"/>
    <col min="18" max="18" width="22.81" style="202" customWidth="1"/>
    <col min="19" max="19" width="21.19" style="202" customWidth="1"/>
    <col min="20" max="20" width="8.64" style="202" customWidth="1"/>
    <col min="21" max="21" width="14.58" style="202" customWidth="1"/>
    <col min="22" max="22" width="22.14" style="202" customWidth="1"/>
    <col min="23" max="23" width="16.33" style="202" customWidth="1"/>
    <col min="24" max="24" width="19.71" style="202" customWidth="1"/>
    <col min="25" max="25" width="17.68" style="202" customWidth="1"/>
    <col min="26" max="26" width="23.08" style="202" customWidth="1"/>
    <col min="27" max="30" width="8.64" style="202" customWidth="1"/>
    <col min="31" max="34" width="20.65" style="202" customWidth="1"/>
    <col min="35" max="35" width="27.54" style="202" customWidth="1"/>
    <col min="36" max="1025" width="8.64" style="202" hidden="1" customWidth="1"/>
  </cols>
  <sheetData>
    <row ht="13.8" outlineLevel="0" r="1">
      <c r="A1" s="201" t="s">
        <v>632</v>
      </c>
    </row>
    <row ht="13.8" outlineLevel="0" r="2">
      <c r="A2" s="203" t="s">
        <v>441</v>
      </c>
      <c r="X2" s="272">
        <v>44440</v>
      </c>
    </row>
    <row ht="13.8" outlineLevel="0" r="3">
      <c r="A3" s="201" t="s">
        <v>450</v>
      </c>
      <c r="P3" s="263" t="s">
        <v>599</v>
      </c>
      <c r="R3" s="260"/>
      <c r="S3" s="260"/>
      <c r="T3" s="261"/>
      <c r="U3" s="212" t="s">
        <v>6</v>
      </c>
      <c r="V3" s="213" t="s">
        <v>619</v>
      </c>
      <c r="W3" s="213" t="s">
        <v>624</v>
      </c>
      <c r="X3" s="262" t="s">
        <v>625</v>
      </c>
      <c r="AB3" s="202" t="e">
        <f>CONCATENATE("20",RIGHT(RCL!B30,2))</f>
        <v>#NAME?</v>
      </c>
    </row>
    <row ht="13.8" outlineLevel="0" r="4">
      <c r="A4" s="273" t="s">
        <v>633</v>
      </c>
      <c r="B4" s="274">
        <v>2007</v>
      </c>
      <c r="C4" s="273" t="s">
        <v>601</v>
      </c>
      <c r="D4" s="273" t="s">
        <v>602</v>
      </c>
      <c r="E4" s="273" t="s">
        <v>603</v>
      </c>
      <c r="F4" s="273" t="s">
        <v>604</v>
      </c>
      <c r="G4" s="273" t="s">
        <v>458</v>
      </c>
      <c r="H4" s="273" t="s">
        <v>459</v>
      </c>
      <c r="I4" s="273" t="s">
        <v>460</v>
      </c>
      <c r="J4" s="273" t="s">
        <v>461</v>
      </c>
      <c r="K4" s="273" t="s">
        <v>462</v>
      </c>
      <c r="L4" s="273" t="s">
        <v>463</v>
      </c>
      <c r="M4" s="274" t="s">
        <v>464</v>
      </c>
      <c r="N4" s="273" t="s">
        <v>465</v>
      </c>
      <c r="O4" s="273" t="s">
        <v>466</v>
      </c>
      <c r="P4" s="274" t="str">
        <f>'Educação_-_Gráficos'!P5</f>
        <v>SET/2021</v>
      </c>
      <c r="R4" s="263" t="s">
        <v>608</v>
      </c>
      <c r="S4" s="263"/>
      <c r="T4" s="264"/>
      <c r="U4" s="265"/>
      <c r="V4" s="218"/>
      <c r="W4" s="265">
        <f>+P6</f>
        <v>123.828765019724</v>
      </c>
      <c r="X4" s="266">
        <f>W4</f>
        <v>123.828765019724</v>
      </c>
      <c r="AA4" s="275" t="s">
        <v>634</v>
      </c>
      <c r="AB4" s="275" t="s">
        <v>586</v>
      </c>
    </row>
    <row ht="13.8" outlineLevel="0" r="5">
      <c r="A5" s="263" t="s">
        <v>635</v>
      </c>
      <c r="B5" s="276">
        <v>44.303491</v>
      </c>
      <c r="C5" s="276">
        <v>48.678681</v>
      </c>
      <c r="D5" s="276">
        <v>58.281095</v>
      </c>
      <c r="E5" s="276">
        <v>61.976698</v>
      </c>
      <c r="F5" s="276">
        <v>72.356648</v>
      </c>
      <c r="G5" s="276">
        <v>80.073777</v>
      </c>
      <c r="H5" s="276">
        <v>83.053256</v>
      </c>
      <c r="I5" s="276">
        <v>91.898531</v>
      </c>
      <c r="J5" s="276">
        <v>100.054862</v>
      </c>
      <c r="K5" s="276">
        <v>106.235537</v>
      </c>
      <c r="L5" s="276">
        <v>114.70061</v>
      </c>
      <c r="M5" s="276">
        <v>116.820887</v>
      </c>
      <c r="N5" s="276">
        <v>122.269918</v>
      </c>
      <c r="O5" s="276">
        <v>160.98510648866</v>
      </c>
      <c r="P5" s="276">
        <f>(com.microsoft.single('https://tesouro.sharepoint.com/sites/GEINF/Documentos Compartilhados/General/Teste/Anexo 12 Saúde.xlsm'#$$desp_liq_apos_ded)+com.microsoft.single('https://tesouro.sharepoint.com/sites/GEINF/Documentos Compartilhados/General/Teste/Anexo 12 Saúde.xlsm'#$$desp_insc_rpnp_saude))/1000000</f>
        <v>112.163376384168</v>
      </c>
      <c r="R5" s="263" t="str">
        <f>CONCATENATE("Limite Mínimo (até ",X2,")")</f>
        <v>Limite Mínimo (até 44440)</v>
      </c>
      <c r="S5" s="263"/>
      <c r="T5" s="264"/>
      <c r="U5" s="265"/>
      <c r="V5" s="218"/>
      <c r="W5" s="265">
        <f>VLOOKUP("TOTAL DAS DESPESAS COM AÇÕES E SERVIÇOS PÚBLICOS DE SAÚDE (XIV)",'[13]Anexo_12_-_Saúde'!$A$1:$Z$100,11,0)/1000000</f>
        <v>0</v>
      </c>
      <c r="X5" s="262"/>
      <c r="AA5" s="275" t="s">
        <v>636</v>
      </c>
      <c r="AB5" s="275" t="s">
        <v>587</v>
      </c>
    </row>
    <row ht="13.8" outlineLevel="0" r="6">
      <c r="A6" s="263" t="s">
        <v>637</v>
      </c>
      <c r="B6" s="276">
        <v>44.2750434075</v>
      </c>
      <c r="C6" s="276">
        <v>48.5610564851</v>
      </c>
      <c r="D6" s="276">
        <v>54.9630987171</v>
      </c>
      <c r="E6" s="276">
        <v>61.230118407</v>
      </c>
      <c r="F6" s="276">
        <v>72.1284811324</v>
      </c>
      <c r="G6" s="276">
        <v>79.5127204872</v>
      </c>
      <c r="H6" s="276">
        <v>82.9112075942</v>
      </c>
      <c r="I6" s="276">
        <v>91.6140866367584</v>
      </c>
      <c r="J6" s="276">
        <v>98.3089957385829</v>
      </c>
      <c r="K6" s="276">
        <v>95.366607468</v>
      </c>
      <c r="L6" s="276">
        <v>109.088149</v>
      </c>
      <c r="M6" s="276">
        <v>112.360793053569</v>
      </c>
      <c r="N6" s="276">
        <v>117.293431868621</v>
      </c>
      <c r="O6" s="276">
        <v>121.246220522593</v>
      </c>
      <c r="P6" s="276">
        <f>+'Saúde_(série)'!F163/1000000000</f>
        <v>123.828765019724</v>
      </c>
      <c r="R6" s="263" t="str">
        <f>CONCATENATE("Despesas Executadas até ",X2)</f>
        <v>Despesas Executadas até 44440</v>
      </c>
      <c r="S6" s="263"/>
      <c r="T6" s="264"/>
      <c r="U6" s="265">
        <v>0</v>
      </c>
      <c r="V6" s="267">
        <f>(com.microsoft.single('https://tesouro.sharepoint.com/sites/GEINF/Documentos Compartilhados/General/Teste/Anexo 12 Saúde.xlsm'#$$desp_liquidadas_saude)+com.microsoft.single('https://tesouro.sharepoint.com/sites/GEINF/Documentos Compartilhados/General/Teste/Anexo 12 Saúde.xlsm'#$$desp_insc_rpnp_saude))/1000000</f>
        <v>112.163376384168</v>
      </c>
      <c r="W6" s="218"/>
      <c r="X6" s="268">
        <f>V6</f>
        <v>112.163376384168</v>
      </c>
      <c r="AA6" s="275" t="s">
        <v>638</v>
      </c>
      <c r="AB6" s="275" t="s">
        <v>588</v>
      </c>
    </row>
    <row ht="13.8" outlineLevel="0" r="7">
      <c r="A7" s="277" t="s">
        <v>639</v>
      </c>
      <c r="B7" s="278">
        <v>0.028447592500001</v>
      </c>
      <c r="C7" s="278">
        <v>0.117624514899994</v>
      </c>
      <c r="D7" s="278">
        <v>3.3179962829</v>
      </c>
      <c r="E7" s="278">
        <v>0.746579593</v>
      </c>
      <c r="F7" s="278">
        <v>0.228166867600009</v>
      </c>
      <c r="G7" s="278">
        <v>0.561056512800022</v>
      </c>
      <c r="H7" s="278">
        <v>0.142048405800011</v>
      </c>
      <c r="I7" s="278">
        <v>0.284444363241604</v>
      </c>
      <c r="J7" s="278">
        <v>1.74586626141709</v>
      </c>
      <c r="K7" s="278">
        <v>10.868929532</v>
      </c>
      <c r="L7" s="278">
        <v>5.612461</v>
      </c>
      <c r="M7" s="278">
        <f>M5-M6</f>
        <v>4.460093946431</v>
      </c>
      <c r="N7" s="278">
        <f>N5-N6</f>
        <v>4.97648613137902</v>
      </c>
      <c r="O7" s="278">
        <f>O5-O6</f>
        <v>39.738885966067</v>
      </c>
      <c r="P7" s="278" t="str">
        <f>IF(LEFT(P4,3)="DEZ",P5-P6,"")</f>
        <v/>
      </c>
      <c r="R7" s="263" t="s">
        <v>626</v>
      </c>
      <c r="S7" s="263"/>
      <c r="T7" s="264"/>
      <c r="U7" s="265"/>
      <c r="V7" s="267"/>
      <c r="W7" s="218"/>
      <c r="X7" s="237">
        <f>X4/X4</f>
        <v>1</v>
      </c>
      <c r="AA7" s="275" t="s">
        <v>640</v>
      </c>
      <c r="AB7" s="275" t="s">
        <v>589</v>
      </c>
    </row>
    <row ht="13.8" outlineLevel="0" r="8">
      <c r="R8" s="263" t="s">
        <v>627</v>
      </c>
      <c r="S8" s="263"/>
      <c r="T8" s="264"/>
      <c r="U8" s="265"/>
      <c r="V8" s="267">
        <f>+V6</f>
        <v>112.163376384168</v>
      </c>
      <c r="W8" s="236">
        <f>+W5</f>
        <v>0</v>
      </c>
      <c r="X8" s="237">
        <f>X6/X4</f>
        <v>0.905794193831313</v>
      </c>
      <c r="AA8" s="275" t="s">
        <v>641</v>
      </c>
      <c r="AB8" s="275" t="s">
        <v>590</v>
      </c>
    </row>
    <row ht="13.8" outlineLevel="0" r="9">
      <c r="R9" s="263" t="s">
        <v>614</v>
      </c>
      <c r="S9" s="263"/>
      <c r="T9" s="264"/>
      <c r="U9" s="236">
        <f>V6-W4</f>
        <v>-11.665388635556</v>
      </c>
      <c r="V9" s="218"/>
      <c r="W9" s="218"/>
      <c r="X9" s="266">
        <f>U9</f>
        <v>-11.665388635556</v>
      </c>
      <c r="AA9" s="275" t="s">
        <v>642</v>
      </c>
      <c r="AB9" s="275" t="s">
        <v>591</v>
      </c>
    </row>
    <row ht="13.8" outlineLevel="0" r="10">
      <c r="A10" s="202" t="s">
        <v>643</v>
      </c>
      <c r="B10" s="279">
        <f>B7/B5</f>
        <v>0.000642107243873874</v>
      </c>
      <c r="C10" s="279">
        <f>C7/C5</f>
        <v>0.00241634556408778</v>
      </c>
      <c r="D10" s="279">
        <f>D7/D5</f>
        <v>0.0569309187293067</v>
      </c>
      <c r="E10" s="279">
        <f>E7/E5</f>
        <v>0.0120461337420719</v>
      </c>
      <c r="F10" s="279">
        <f>F7/F5</f>
        <v>0.00315336425755943</v>
      </c>
      <c r="G10" s="279">
        <f>G7/G5</f>
        <v>0.00700674470245137</v>
      </c>
      <c r="H10" s="279">
        <f>H7/H5</f>
        <v>0.00171032916277251</v>
      </c>
      <c r="I10" s="279">
        <f>I7/I5</f>
        <v>0.00309520032743074</v>
      </c>
      <c r="J10" s="279">
        <f>J7/J5</f>
        <v>0.0174490896945827</v>
      </c>
      <c r="K10" s="279">
        <f>K7/K5</f>
        <v>0.102309734001721</v>
      </c>
      <c r="L10" s="279">
        <f>L7/L5</f>
        <v>0.0489313962672038</v>
      </c>
      <c r="M10" s="279">
        <f>M7/M5</f>
        <v>0.038178908420983</v>
      </c>
      <c r="N10" s="279"/>
      <c r="O10" s="279"/>
      <c r="P10" s="279">
        <f>IFERROR(P7/P5,0)</f>
        <v>0</v>
      </c>
      <c r="R10" s="269" t="str">
        <f>CONCATENATE("Diferença para Cumprimento (até ",X2,")")</f>
        <v>Diferença para Cumprimento (até 44440)</v>
      </c>
      <c r="S10" s="269"/>
      <c r="T10" s="270"/>
      <c r="U10" s="236">
        <f>V6-W5</f>
        <v>112.163376384168</v>
      </c>
      <c r="V10" s="218"/>
      <c r="W10" s="218"/>
      <c r="X10" s="262"/>
      <c r="AA10" s="275" t="s">
        <v>644</v>
      </c>
      <c r="AB10" s="275" t="s">
        <v>592</v>
      </c>
    </row>
    <row ht="13.8" outlineLevel="0" r="11">
      <c r="A11" s="202" t="s">
        <v>645</v>
      </c>
      <c r="B11" s="280">
        <f>SUM($B$7:B7)</f>
        <v>0.028447592500001</v>
      </c>
      <c r="C11" s="280">
        <f>SUM($B$7:C7)</f>
        <v>0.146072107399995</v>
      </c>
      <c r="D11" s="280">
        <f>SUM($B$7:D7)</f>
        <v>3.4640683903</v>
      </c>
      <c r="E11" s="280">
        <f>SUM($B$7:E7)</f>
        <v>4.2106479833</v>
      </c>
      <c r="F11" s="280">
        <f>SUM($B$7:F7)</f>
        <v>4.4388148509</v>
      </c>
      <c r="G11" s="280">
        <f>SUM($B$7:G7)</f>
        <v>4.99987136370003</v>
      </c>
      <c r="H11" s="280">
        <f>SUM($B$7:H7)</f>
        <v>5.14191976950004</v>
      </c>
      <c r="I11" s="280">
        <f>SUM($B$7:I7)</f>
        <v>5.42636413274164</v>
      </c>
      <c r="J11" s="280">
        <f>SUM($B$7:J7)</f>
        <v>7.17223039415873</v>
      </c>
      <c r="K11" s="280">
        <f>SUM($B$7:K7)</f>
        <v>18.0411599261587</v>
      </c>
      <c r="L11" s="280">
        <f>SUM($B$7:L7)</f>
        <v>23.6536209261587</v>
      </c>
      <c r="M11" s="280">
        <f>SUM($B$7:M7)</f>
        <v>28.1137148725897</v>
      </c>
      <c r="N11" s="280"/>
      <c r="O11" s="280"/>
      <c r="P11" s="280">
        <f>SUM($B$7:P7)</f>
        <v>72.8290869700358</v>
      </c>
      <c r="AA11" s="275" t="s">
        <v>646</v>
      </c>
      <c r="AB11" s="275" t="s">
        <v>593</v>
      </c>
    </row>
    <row ht="13.8" outlineLevel="0" r="12">
      <c r="AA12" s="275" t="s">
        <v>647</v>
      </c>
      <c r="AB12" s="275" t="s">
        <v>594</v>
      </c>
    </row>
    <row ht="13.8" outlineLevel="0" r="13">
      <c r="AA13" s="275" t="s">
        <v>648</v>
      </c>
      <c r="AB13" s="275" t="s">
        <v>595</v>
      </c>
    </row>
    <row ht="13.8" outlineLevel="0" r="14">
      <c r="AA14" s="275" t="s">
        <v>649</v>
      </c>
      <c r="AB14" s="275" t="s">
        <v>596</v>
      </c>
    </row>
    <row ht="13.8" outlineLevel="0" r="15">
      <c r="AA15" s="275" t="s">
        <v>650</v>
      </c>
      <c r="AB15" s="275" t="s">
        <v>597</v>
      </c>
    </row>
    <row ht="13.8" outlineLevel="0" r="23">
      <c r="AG23" s="281" t="s">
        <v>298</v>
      </c>
      <c r="AH23" s="282" t="e">
        <f>RCL!C30</f>
        <v>#NAME?</v>
      </c>
    </row>
    <row ht="13.8" outlineLevel="0" r="24">
      <c r="AF24" s="240" t="s">
        <v>615</v>
      </c>
      <c r="AG24" s="240"/>
    </row>
    <row ht="13.8" outlineLevel="0" r="25">
      <c r="AF25" s="241">
        <f>MATCH("SAÚDE - LIMITE MÍNIMO (R$ BILHÕES)",'Saúde_(série)'!$A$1:$F$1,0)</f>
        <v>5</v>
      </c>
      <c r="AG25" s="241">
        <f>MATCH("SAÚDE - DESPESAS EXECUTADAS (R$ BILHÕES)",'Saúde_(série)'!$A$1:$F$1,0)</f>
        <v>2</v>
      </c>
    </row>
    <row ht="26.85" outlineLevel="0" r="26">
      <c r="W26" s="253" t="str">
        <f>SUBSTITUTE(SUBSTITUTE(IF(PROPER(TEXT(mes_ref,"mmmm"))="Janeiro","Janeiro",CONCATENATE("De Janeiro a ",PROPER(TEXT(mes_ref,"mmmm")))),"July","Julho"),"August","Agosto")</f>
        <v>De Janeiro a Setembro</v>
      </c>
      <c r="X26" s="243" t="str">
        <f>+AF26</f>
        <v>Limite Mínimo (em dezembro)</v>
      </c>
      <c r="Y26" s="243" t="str">
        <f>+AG26</f>
        <v>Despesas Executadas</v>
      </c>
      <c r="Z26" s="244" t="str">
        <f>+AH26</f>
        <v>% do Limite Atingido</v>
      </c>
      <c r="AE26" s="242" t="s">
        <v>616</v>
      </c>
      <c r="AF26" s="243" t="s">
        <v>618</v>
      </c>
      <c r="AG26" s="243" t="s">
        <v>619</v>
      </c>
      <c r="AH26" s="244" t="s">
        <v>620</v>
      </c>
    </row>
    <row ht="15" outlineLevel="0" r="27">
      <c r="W27" s="254" t="e">
        <f>YEAR(AE27)</f>
        <v>#NAME?</v>
      </c>
      <c r="X27" s="255" t="e">
        <f>+AF27</f>
        <v>#NAME?</v>
      </c>
      <c r="Y27" s="255" t="e">
        <f>+AG27</f>
        <v>#NAME?</v>
      </c>
      <c r="Z27" s="247" t="e">
        <f>+AH27</f>
        <v>#NAME?</v>
      </c>
      <c r="AE27" s="245" t="e">
        <f>mes_ref</f>
        <v>#NAME?</v>
      </c>
      <c r="AF27" s="246" t="e">
        <f>VLOOKUP($AE27,'Saúde_(série)'!$A$1:$F$166,AF$25,0)</f>
        <v>#NAME?</v>
      </c>
      <c r="AG27" s="246" t="e">
        <f>VLOOKUP($AE27,'Saúde_(série)'!$A$1:$F$166,AG$25,0)</f>
        <v>#NAME?</v>
      </c>
      <c r="AH27" s="247" t="e">
        <f>AG27/AF27</f>
        <v>#NAME?</v>
      </c>
    </row>
    <row ht="15" outlineLevel="0" r="28">
      <c r="W28" s="254" t="e">
        <f>+W27-1</f>
        <v>#NAME?</v>
      </c>
      <c r="X28" s="255">
        <f>+AF28</f>
        <v>121.25</v>
      </c>
      <c r="Y28" s="255">
        <f>+AG28</f>
        <v>112.44</v>
      </c>
      <c r="Z28" s="249">
        <f>+AH28</f>
        <v>0.927340206185567</v>
      </c>
      <c r="AE28" s="248">
        <f>EDATE(AE27,-12)</f>
        <v>44075</v>
      </c>
      <c r="AF28" s="246">
        <f>VLOOKUP($AE28,'Saúde_(série)'!$A$1:$F$166,AF$25,0)</f>
        <v>121.25</v>
      </c>
      <c r="AG28" s="246">
        <f>VLOOKUP($AE28,'Saúde_(série)'!$A$1:$F$166,AG$25,0)</f>
        <v>112.44</v>
      </c>
      <c r="AH28" s="249">
        <f>AG28/AF28</f>
        <v>0.927340206185567</v>
      </c>
    </row>
    <row ht="15" outlineLevel="0" r="29">
      <c r="W29" s="254" t="e">
        <f>+W28-1</f>
        <v>#NAME?</v>
      </c>
      <c r="X29" s="255">
        <f>+AF29</f>
        <v>117.293431868621</v>
      </c>
      <c r="Y29" s="255">
        <f>+AG29</f>
        <v>77.9518532362</v>
      </c>
      <c r="Z29" s="249">
        <f>+AH29</f>
        <v>0.664588391645945</v>
      </c>
      <c r="AE29" s="248">
        <f>EDATE(AE28,-12)</f>
        <v>43709</v>
      </c>
      <c r="AF29" s="246">
        <f>VLOOKUP($AE29,'Saúde_(série)'!$A$1:$F$166,AF$25,0)</f>
        <v>117.293431868621</v>
      </c>
      <c r="AG29" s="246">
        <f>VLOOKUP($AE29,'Saúde_(série)'!$A$1:$F$166,AG$25,0)</f>
        <v>77.9518532362</v>
      </c>
      <c r="AH29" s="249">
        <f>AG29/AF29</f>
        <v>0.664588391645945</v>
      </c>
    </row>
    <row ht="15" outlineLevel="0" r="30">
      <c r="W30" s="254" t="e">
        <f>+W29-1</f>
        <v>#NAME?</v>
      </c>
      <c r="X30" s="255">
        <f>+AF30</f>
        <v>112.360793053569</v>
      </c>
      <c r="Y30" s="255">
        <f>+AG30</f>
        <v>75.460667</v>
      </c>
      <c r="Z30" s="249">
        <f>+AH30</f>
        <v>0.671592509711314</v>
      </c>
      <c r="AE30" s="248">
        <f>EDATE(AE29,-12)</f>
        <v>43344</v>
      </c>
      <c r="AF30" s="246">
        <f>VLOOKUP($AE30,'Saúde_(série)'!$A$1:$F$166,AF$25,0)</f>
        <v>112.360793053569</v>
      </c>
      <c r="AG30" s="246">
        <f>VLOOKUP($AE30,'Saúde_(série)'!$A$1:$F$166,AG$25,0)</f>
        <v>75.460667</v>
      </c>
      <c r="AH30" s="249">
        <f>AG30/AF30</f>
        <v>0.671592509711314</v>
      </c>
    </row>
    <row ht="15" outlineLevel="0" r="31">
      <c r="W31" s="254" t="e">
        <f>+W30-1</f>
        <v>#NAME?</v>
      </c>
      <c r="X31" s="255">
        <f>+AF31</f>
        <v>109.088149</v>
      </c>
      <c r="Y31" s="255">
        <f>+AG31</f>
        <v>74.219203</v>
      </c>
      <c r="Z31" s="249">
        <f>+AH31</f>
        <v>0.680359907839302</v>
      </c>
      <c r="AE31" s="248">
        <f>EDATE(AE30,-12)</f>
        <v>42979</v>
      </c>
      <c r="AF31" s="246">
        <f>VLOOKUP($AE31,'Saúde_(série)'!$A$1:$F$166,AF$25,0)</f>
        <v>109.088149</v>
      </c>
      <c r="AG31" s="246">
        <f>VLOOKUP($AE31,'Saúde_(série)'!$A$1:$F$166,AG$25,0)</f>
        <v>74.219203</v>
      </c>
      <c r="AH31" s="249">
        <f>AG31/AF31</f>
        <v>0.680359907839302</v>
      </c>
    </row>
    <row ht="15" outlineLevel="0" r="32">
      <c r="W32" s="254" t="e">
        <f>+W31-1</f>
        <v>#NAME?</v>
      </c>
      <c r="X32" s="255">
        <f>+AF32</f>
        <v>95.366607468</v>
      </c>
      <c r="Y32" s="255">
        <f>+AG32</f>
        <v>71.16058</v>
      </c>
      <c r="Z32" s="249">
        <f>+AH32</f>
        <v>0.746179211878515</v>
      </c>
      <c r="AE32" s="248">
        <f>EDATE(AE31,-12)</f>
        <v>42614</v>
      </c>
      <c r="AF32" s="246">
        <f>VLOOKUP($AE32,'Saúde_(série)'!$A$1:$F$166,AF$25,0)</f>
        <v>95.366607468</v>
      </c>
      <c r="AG32" s="246">
        <f>VLOOKUP($AE32,'Saúde_(série)'!$A$1:$F$166,AG$25,0)</f>
        <v>71.16058</v>
      </c>
      <c r="AH32" s="249">
        <f>AG32/AF32</f>
        <v>0.746179211878515</v>
      </c>
    </row>
    <row ht="15" outlineLevel="0" r="33">
      <c r="W33" s="254" t="e">
        <f>+W32-1</f>
        <v>#NAME?</v>
      </c>
      <c r="X33" s="255">
        <f>+AF33</f>
        <v>98.3089957385829</v>
      </c>
      <c r="Y33" s="255">
        <f>+AG33</f>
        <v>70.418721</v>
      </c>
      <c r="Z33" s="249">
        <f>+AH33</f>
        <v>0.716299871349038</v>
      </c>
      <c r="AE33" s="248">
        <f>EDATE(AE32,-12)</f>
        <v>42248</v>
      </c>
      <c r="AF33" s="246">
        <f>VLOOKUP($AE33,'Saúde_(série)'!$A$1:$F$166,AF$25,0)</f>
        <v>98.3089957385829</v>
      </c>
      <c r="AG33" s="246">
        <f>VLOOKUP($AE33,'Saúde_(série)'!$A$1:$F$166,AG$25,0)</f>
        <v>70.418721</v>
      </c>
      <c r="AH33" s="249">
        <f>AG33/AF33</f>
        <v>0.716299871349038</v>
      </c>
    </row>
    <row ht="15" outlineLevel="0" r="34">
      <c r="W34" s="254" t="e">
        <f>+W33-1</f>
        <v>#NAME?</v>
      </c>
      <c r="X34" s="255">
        <f>+AF34</f>
        <v>91.6140866367584</v>
      </c>
      <c r="Y34" s="255">
        <f>+AG34</f>
        <v>63.783741</v>
      </c>
      <c r="Z34" s="249">
        <f>+AH34</f>
        <v>0.696221982247084</v>
      </c>
      <c r="AE34" s="248">
        <f>EDATE(AE33,-12)</f>
        <v>41883</v>
      </c>
      <c r="AF34" s="246">
        <f>VLOOKUP($AE34,'Saúde_(série)'!$A$1:$F$166,AF$25,0)</f>
        <v>91.6140866367584</v>
      </c>
      <c r="AG34" s="246">
        <f>VLOOKUP($AE34,'Saúde_(série)'!$A$1:$F$166,AG$25,0)</f>
        <v>63.783741</v>
      </c>
      <c r="AH34" s="249">
        <f>AG34/AF34</f>
        <v>0.696221982247084</v>
      </c>
    </row>
    <row ht="15" outlineLevel="0" r="35">
      <c r="W35" s="254" t="e">
        <f>+W34-1</f>
        <v>#NAME?</v>
      </c>
      <c r="X35" s="255">
        <f>+AF35</f>
        <v>82.9112075942</v>
      </c>
      <c r="Y35" s="255">
        <f>+AG35</f>
        <v>53.117222</v>
      </c>
      <c r="Z35" s="249">
        <f>+AH35</f>
        <v>0.640651891840444</v>
      </c>
      <c r="AE35" s="248">
        <f>EDATE(AE34,-12)</f>
        <v>41518</v>
      </c>
      <c r="AF35" s="246">
        <f>VLOOKUP($AE35,'Saúde_(série)'!$A$1:$F$166,AF$25,0)</f>
        <v>82.9112075942</v>
      </c>
      <c r="AG35" s="246">
        <f>VLOOKUP($AE35,'Saúde_(série)'!$A$1:$F$166,AG$25,0)</f>
        <v>53.117222</v>
      </c>
      <c r="AH35" s="249">
        <f>AG35/AF35</f>
        <v>0.640651891840444</v>
      </c>
    </row>
    <row ht="15" outlineLevel="0" r="36">
      <c r="W36" s="254" t="e">
        <f>+W35-1</f>
        <v>#NAME?</v>
      </c>
      <c r="X36" s="255">
        <f>+AF36</f>
        <v>79.5127204872</v>
      </c>
      <c r="Y36" s="255">
        <f>+AG36</f>
        <v>48.160875</v>
      </c>
      <c r="Z36" s="249">
        <f>+AH36</f>
        <v>0.605700254058757</v>
      </c>
      <c r="AE36" s="248">
        <f>EDATE(AE35,-12)</f>
        <v>41153</v>
      </c>
      <c r="AF36" s="246">
        <f>VLOOKUP($AE36,'Saúde_(série)'!$A$1:$F$166,AF$25,0)</f>
        <v>79.5127204872</v>
      </c>
      <c r="AG36" s="246">
        <f>VLOOKUP($AE36,'Saúde_(série)'!$A$1:$F$166,AG$25,0)</f>
        <v>48.160875</v>
      </c>
      <c r="AH36" s="249">
        <f>AG36/AF36</f>
        <v>0.605700254058757</v>
      </c>
    </row>
    <row ht="15" outlineLevel="0" r="37">
      <c r="W37" s="254" t="e">
        <f>+W36-1</f>
        <v>#NAME?</v>
      </c>
      <c r="X37" s="255">
        <f>+AF37</f>
        <v>72.1284811324</v>
      </c>
      <c r="Y37" s="255">
        <f>+AG37</f>
        <v>44.102355</v>
      </c>
      <c r="Z37" s="249">
        <f>+AH37</f>
        <v>0.611441615123507</v>
      </c>
      <c r="AE37" s="248">
        <f>EDATE(AE36,-12)</f>
        <v>40787</v>
      </c>
      <c r="AF37" s="246">
        <f>VLOOKUP($AE37,'Saúde_(série)'!$A$1:$F$166,AF$25,0)</f>
        <v>72.1284811324</v>
      </c>
      <c r="AG37" s="246">
        <f>VLOOKUP($AE37,'Saúde_(série)'!$A$1:$F$166,AG$25,0)</f>
        <v>44.102355</v>
      </c>
      <c r="AH37" s="249">
        <f>AG37/AF37</f>
        <v>0.611441615123507</v>
      </c>
    </row>
    <row ht="15" outlineLevel="0" r="38">
      <c r="W38" s="254" t="e">
        <f>+W37-1</f>
        <v>#NAME?</v>
      </c>
      <c r="X38" s="255">
        <f>+AF38</f>
        <v>61.230118407</v>
      </c>
      <c r="Y38" s="255">
        <f>+AG38</f>
        <v>39.916542</v>
      </c>
      <c r="Z38" s="252">
        <f>+AH38</f>
        <v>0.65191025329516</v>
      </c>
      <c r="AE38" s="251">
        <f>EDATE(AE37,-12)</f>
        <v>40422</v>
      </c>
      <c r="AF38" s="246">
        <f>VLOOKUP($AE38,'Saúde_(série)'!$A$1:$F$166,AF$25,0)</f>
        <v>61.230118407</v>
      </c>
      <c r="AG38" s="246">
        <f>VLOOKUP($AE38,'Saúde_(série)'!$A$1:$F$166,AG$25,0)</f>
        <v>39.916542</v>
      </c>
      <c r="AH38" s="252">
        <f>AG38/AF38</f>
        <v>0.65191025329516</v>
      </c>
    </row>
    <row ht="15" outlineLevel="0" r="39">
      <c r="W39" s="254" t="e">
        <f>+W38-1</f>
        <v>#NAME?</v>
      </c>
      <c r="X39" s="255">
        <f>+AF39</f>
        <v>54.9630987171</v>
      </c>
      <c r="Y39" s="255">
        <f>+AG39</f>
        <v>35.458312</v>
      </c>
      <c r="Z39" s="252">
        <f>+AH39</f>
        <v>0.645129420058849</v>
      </c>
      <c r="AE39" s="251">
        <f>EDATE(AE38,-12)</f>
        <v>40057</v>
      </c>
      <c r="AF39" s="246">
        <f>VLOOKUP($AE39,'Saúde_(série)'!$A$1:$F$166,AF$25,0)</f>
        <v>54.9630987171</v>
      </c>
      <c r="AG39" s="246">
        <f>VLOOKUP($AE39,'Saúde_(série)'!$A$1:$F$166,AG$25,0)</f>
        <v>35.458312</v>
      </c>
      <c r="AH39" s="252">
        <f>AG39/AF39</f>
        <v>0.645129420058849</v>
      </c>
    </row>
    <row ht="15" outlineLevel="0" r="40">
      <c r="W40" s="254" t="e">
        <f>+W39-1</f>
        <v>#NAME?</v>
      </c>
      <c r="X40" s="255">
        <f>+AF40</f>
        <v>48.5610564851</v>
      </c>
      <c r="Y40" s="255">
        <f>+AG40</f>
        <v>29.660276</v>
      </c>
      <c r="Z40" s="252">
        <f>+AH40</f>
        <v>0.610783169618657</v>
      </c>
      <c r="AE40" s="251">
        <f>EDATE(AE39,-12)</f>
        <v>39692</v>
      </c>
      <c r="AF40" s="246">
        <f>VLOOKUP($AE40,'Saúde_(série)'!$A$1:$F$166,AF$25,0)</f>
        <v>48.5610564851</v>
      </c>
      <c r="AG40" s="246">
        <f>VLOOKUP($AE40,'Saúde_(série)'!$A$1:$F$166,AG$25,0)</f>
        <v>29.660276</v>
      </c>
      <c r="AH40" s="252">
        <f>AG40/AF40</f>
        <v>0.610783169618657</v>
      </c>
    </row>
    <row ht="13.8" outlineLevel="0" r="45">
      <c r="A45" s="203"/>
      <c r="M45" s="202" t="s">
        <v>599</v>
      </c>
    </row>
    <row ht="13.8" outlineLevel="0" r="46">
      <c r="A46" s="273" t="s">
        <v>430</v>
      </c>
      <c r="B46" s="274">
        <v>2007</v>
      </c>
      <c r="C46" s="274">
        <v>2008</v>
      </c>
      <c r="D46" s="274">
        <v>2009</v>
      </c>
      <c r="E46" s="274">
        <v>2010</v>
      </c>
      <c r="F46" s="274">
        <v>2011</v>
      </c>
      <c r="G46" s="274">
        <v>2012</v>
      </c>
      <c r="H46" s="274">
        <v>2013</v>
      </c>
      <c r="I46" s="274">
        <v>2014</v>
      </c>
      <c r="J46" s="274">
        <v>2015</v>
      </c>
      <c r="K46" s="274">
        <v>2016</v>
      </c>
      <c r="L46" s="274">
        <v>2017</v>
      </c>
      <c r="M46" s="274">
        <v>2018</v>
      </c>
      <c r="N46" s="274"/>
      <c r="O46" s="274"/>
    </row>
    <row ht="13.8" outlineLevel="0" r="47">
      <c r="A47" s="283" t="s">
        <v>635</v>
      </c>
      <c r="B47" s="276">
        <v>44.303491</v>
      </c>
      <c r="C47" s="276">
        <v>48.678681</v>
      </c>
      <c r="D47" s="276">
        <v>58.281095</v>
      </c>
      <c r="E47" s="276">
        <v>61.976698</v>
      </c>
      <c r="F47" s="276">
        <v>72.356648</v>
      </c>
      <c r="G47" s="276">
        <v>80.073777</v>
      </c>
      <c r="H47" s="276">
        <v>83.053256</v>
      </c>
      <c r="I47" s="276">
        <v>91.898531</v>
      </c>
      <c r="J47" s="276">
        <v>100.054862</v>
      </c>
      <c r="K47" s="276">
        <v>106.235537</v>
      </c>
      <c r="L47" s="276">
        <v>114.70061</v>
      </c>
      <c r="M47" s="276">
        <f>'[13]Anexo_12_-_Saúde'!$F$54/1000000</f>
        <v>0</v>
      </c>
      <c r="N47" s="276"/>
      <c r="O47" s="276"/>
    </row>
    <row ht="13.8" outlineLevel="0" r="48">
      <c r="A48" s="283" t="s">
        <v>452</v>
      </c>
      <c r="B48" s="284">
        <v>2720.263</v>
      </c>
      <c r="C48" s="285">
        <v>3109.803</v>
      </c>
      <c r="D48" s="285">
        <v>3333.039</v>
      </c>
      <c r="E48" s="285">
        <v>3885.847</v>
      </c>
      <c r="F48" s="285">
        <v>4376.382</v>
      </c>
      <c r="G48" s="285">
        <v>4814.76</v>
      </c>
      <c r="H48" s="285">
        <v>5331.61900000001</v>
      </c>
      <c r="I48" s="285">
        <v>5778.953</v>
      </c>
      <c r="J48" s="286">
        <v>5995.787</v>
      </c>
      <c r="K48" s="286">
        <v>6259.22778999</v>
      </c>
      <c r="L48" s="287">
        <v>6559.94025975142</v>
      </c>
      <c r="M48" s="288"/>
      <c r="N48" s="288"/>
      <c r="O48" s="288"/>
    </row>
    <row ht="13.8" outlineLevel="0" r="49">
      <c r="A49" s="283" t="s">
        <v>651</v>
      </c>
      <c r="B49" s="289">
        <f>B47/B48</f>
        <v>0.0162864734034908</v>
      </c>
      <c r="C49" s="289">
        <f>C47/C48</f>
        <v>0.0156533005466906</v>
      </c>
      <c r="D49" s="289">
        <f>D47/D48</f>
        <v>0.017485872502542</v>
      </c>
      <c r="E49" s="289">
        <f>E47/E48</f>
        <v>0.0159493407743537</v>
      </c>
      <c r="F49" s="289">
        <f>F47/F48</f>
        <v>0.0165334397225836</v>
      </c>
      <c r="G49" s="289">
        <f>G47/G48</f>
        <v>0.0166308968671336</v>
      </c>
      <c r="H49" s="289">
        <f>H47/H48</f>
        <v>0.0155774926903066</v>
      </c>
      <c r="I49" s="289">
        <f>I47/I48</f>
        <v>0.0159022803957741</v>
      </c>
      <c r="J49" s="289">
        <f>J47/J48</f>
        <v>0.0166875277590748</v>
      </c>
      <c r="K49" s="289">
        <f>K47/K48</f>
        <v>0.0169726267463689</v>
      </c>
      <c r="L49" s="289">
        <f>L47/L48</f>
        <v>0.0174850083168816</v>
      </c>
      <c r="M49" s="290"/>
      <c r="N49" s="290"/>
      <c r="O49" s="290"/>
    </row>
  </sheetData>
  <mergeCells count="1">
    <mergeCell ref="AF24:AG24"/>
  </mergeCells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FFC000"/>
    <pageSetUpPr fitToPage="false"/>
  </sheetPr>
  <sheetViews>
    <sheetView topLeftCell="A150" zoomScale="120" workbookViewId="0" colorId="64" defaultGridColor="true" rightToLeft="false" showFormulas="false" showOutlineSymbols="true" showRowColHeaders="true" showZeros="true" tabSelected="true" view="normal" zoomScaleNormal="120" zoomScalePageLayoutView="100">
      <selection pane="topLeft" activeCell="A1" sqref="A1" activeCellId="0"/>
    </sheetView>
  </sheetViews>
  <sheetFormatPr baseColWidth="8" defaultRowHeight="13"/>
  <cols>
    <col min="1" max="1" width="10.12" style="1" customWidth="1"/>
    <col min="2" max="2" width="43.33" style="199" customWidth="1"/>
    <col min="3" max="3" width="31.72" style="199" customWidth="1"/>
    <col min="4" max="4" width="35.77" style="199" customWidth="1"/>
    <col min="5" max="5" width="36.72" style="199" customWidth="1"/>
    <col min="6" max="6" width="29.16" style="199" customWidth="1"/>
    <col min="7" max="1025" width="8.37" style="1" customWidth="1"/>
  </cols>
  <sheetData>
    <row ht="13.8" outlineLevel="0" r="1">
      <c r="A1" s="2" t="s">
        <v>628</v>
      </c>
      <c r="B1" s="271" t="s">
        <v>652</v>
      </c>
      <c r="C1" s="271" t="s">
        <v>653</v>
      </c>
      <c r="D1" s="271" t="s">
        <v>654</v>
      </c>
      <c r="E1" s="271" t="s">
        <v>655</v>
      </c>
      <c r="F1" s="271" t="s">
        <v>656</v>
      </c>
    </row>
    <row ht="13.8" outlineLevel="0" r="2">
      <c r="A2" s="3">
        <v>39448</v>
      </c>
      <c r="B2" s="199">
        <v>2.372766</v>
      </c>
      <c r="C2" s="199">
        <v>22530837000</v>
      </c>
      <c r="D2" s="199">
        <v>2372766000</v>
      </c>
      <c r="E2" s="199">
        <v>48.5610564851</v>
      </c>
      <c r="F2" s="199">
        <v>48561056485.1</v>
      </c>
    </row>
    <row ht="13.8" outlineLevel="0" r="3">
      <c r="A3" s="3">
        <v>39479</v>
      </c>
      <c r="B3" s="199">
        <v>4.18404</v>
      </c>
      <c r="C3" s="199">
        <v>23112612000</v>
      </c>
      <c r="D3" s="199">
        <v>4184040000</v>
      </c>
      <c r="E3" s="199">
        <v>48.5610564851</v>
      </c>
      <c r="F3" s="199">
        <v>48561056485.1</v>
      </c>
    </row>
    <row ht="13.8" outlineLevel="0" r="4">
      <c r="A4" s="3">
        <v>39508</v>
      </c>
      <c r="B4" s="199">
        <v>7.475656</v>
      </c>
      <c r="C4" s="199">
        <v>48603504000</v>
      </c>
      <c r="D4" s="199">
        <v>7475656000</v>
      </c>
      <c r="E4" s="199">
        <v>48.5610564851</v>
      </c>
      <c r="F4" s="199">
        <v>48561056485.1</v>
      </c>
    </row>
    <row ht="13.8" outlineLevel="0" r="5">
      <c r="A5" s="3">
        <v>39539</v>
      </c>
      <c r="B5" s="199">
        <v>10.751366</v>
      </c>
      <c r="C5" s="199">
        <v>48603504000</v>
      </c>
      <c r="D5" s="199">
        <v>10751366000</v>
      </c>
      <c r="E5" s="199">
        <v>48.5610564851</v>
      </c>
      <c r="F5" s="199">
        <v>48561056485.1</v>
      </c>
    </row>
    <row ht="13.8" outlineLevel="0" r="6">
      <c r="A6" s="3">
        <v>39569</v>
      </c>
      <c r="B6" s="199">
        <v>14.355693</v>
      </c>
      <c r="C6" s="199">
        <v>48603504000</v>
      </c>
      <c r="D6" s="199">
        <v>14355693000</v>
      </c>
      <c r="E6" s="199">
        <v>48.5610564851</v>
      </c>
      <c r="F6" s="199">
        <v>48561056485.1</v>
      </c>
    </row>
    <row ht="13.8" outlineLevel="0" r="7">
      <c r="A7" s="3">
        <v>39600</v>
      </c>
      <c r="B7" s="199">
        <v>18.229473</v>
      </c>
      <c r="C7" s="199">
        <v>48657780000</v>
      </c>
      <c r="D7" s="199">
        <v>18229473000</v>
      </c>
      <c r="E7" s="199">
        <v>48.5610564851</v>
      </c>
      <c r="F7" s="199">
        <v>48561056485.1</v>
      </c>
    </row>
    <row ht="13.8" outlineLevel="0" r="8">
      <c r="A8" s="3">
        <v>39630</v>
      </c>
      <c r="B8" s="199">
        <v>22.052307</v>
      </c>
      <c r="C8" s="199">
        <v>48657696000</v>
      </c>
      <c r="D8" s="199">
        <v>22052307000</v>
      </c>
      <c r="E8" s="199">
        <v>48.5610564851</v>
      </c>
      <c r="F8" s="199">
        <v>48561056485.1</v>
      </c>
    </row>
    <row ht="13.8" outlineLevel="0" r="9">
      <c r="A9" s="3">
        <v>39661</v>
      </c>
      <c r="B9" s="199">
        <v>25.669383</v>
      </c>
      <c r="C9" s="199">
        <v>48853420000</v>
      </c>
      <c r="D9" s="199">
        <v>25669383000</v>
      </c>
      <c r="E9" s="199">
        <v>48.5610564851</v>
      </c>
      <c r="F9" s="199">
        <v>48561056485.1</v>
      </c>
    </row>
    <row ht="13.8" outlineLevel="0" r="10">
      <c r="A10" s="3">
        <v>39692</v>
      </c>
      <c r="B10" s="199">
        <v>29.660276</v>
      </c>
      <c r="C10" s="199">
        <v>49287520000</v>
      </c>
      <c r="D10" s="199">
        <v>29660276000</v>
      </c>
      <c r="E10" s="199">
        <v>48.5610564851</v>
      </c>
      <c r="F10" s="199">
        <v>48561056485.1</v>
      </c>
    </row>
    <row ht="13.8" outlineLevel="0" r="11">
      <c r="A11" s="3">
        <v>39722</v>
      </c>
      <c r="B11" s="199">
        <v>33.442036</v>
      </c>
      <c r="C11" s="199">
        <v>49424094000</v>
      </c>
      <c r="D11" s="199">
        <v>33442036000</v>
      </c>
      <c r="E11" s="199">
        <v>48.5610564851</v>
      </c>
      <c r="F11" s="199">
        <v>48561056485.1</v>
      </c>
    </row>
    <row ht="13.8" outlineLevel="0" r="12">
      <c r="A12" s="3">
        <v>39753</v>
      </c>
      <c r="B12" s="199">
        <v>37.945664</v>
      </c>
      <c r="C12" s="199">
        <v>50002923000</v>
      </c>
      <c r="D12" s="199">
        <v>37945664000</v>
      </c>
      <c r="E12" s="199">
        <v>48.5610564851</v>
      </c>
      <c r="F12" s="199">
        <v>48561056485.1</v>
      </c>
    </row>
    <row ht="13.8" outlineLevel="0" r="13">
      <c r="A13" s="3">
        <v>39783</v>
      </c>
      <c r="B13" s="199">
        <v>48.678681</v>
      </c>
      <c r="C13" s="199">
        <v>51279029000</v>
      </c>
      <c r="D13" s="199">
        <v>48678681000</v>
      </c>
      <c r="E13" s="199">
        <v>48.5610564851</v>
      </c>
      <c r="F13" s="199">
        <v>48561056485.1</v>
      </c>
    </row>
    <row ht="13.8" outlineLevel="0" r="14">
      <c r="A14" s="3">
        <v>39814</v>
      </c>
      <c r="B14" s="199">
        <v>1.259636</v>
      </c>
      <c r="C14" s="199">
        <v>54868720000</v>
      </c>
      <c r="D14" s="199">
        <v>1259636000</v>
      </c>
      <c r="E14" s="199">
        <v>54.9630987171</v>
      </c>
      <c r="F14" s="199">
        <v>54963098717.1</v>
      </c>
    </row>
    <row ht="13.8" outlineLevel="0" r="15">
      <c r="A15" s="3">
        <v>39845</v>
      </c>
      <c r="B15" s="199">
        <v>4.636221</v>
      </c>
      <c r="C15" s="199">
        <v>54875713000</v>
      </c>
      <c r="D15" s="199">
        <v>4636221000</v>
      </c>
      <c r="E15" s="199">
        <v>54.9630987171</v>
      </c>
      <c r="F15" s="199">
        <v>54963098717.1</v>
      </c>
    </row>
    <row ht="13.8" outlineLevel="0" r="16">
      <c r="A16" s="3">
        <v>39873</v>
      </c>
      <c r="B16" s="199">
        <v>9.455377</v>
      </c>
      <c r="C16" s="199">
        <v>54875713000</v>
      </c>
      <c r="D16" s="199">
        <v>9455377000</v>
      </c>
      <c r="E16" s="199">
        <v>54.9630987171</v>
      </c>
      <c r="F16" s="199">
        <v>54963098717.1</v>
      </c>
    </row>
    <row ht="13.8" outlineLevel="0" r="17">
      <c r="A17" s="3">
        <v>39904</v>
      </c>
      <c r="B17" s="199">
        <v>13.451818</v>
      </c>
      <c r="C17" s="199">
        <v>54875713000</v>
      </c>
      <c r="D17" s="199">
        <v>13451818000</v>
      </c>
      <c r="E17" s="199">
        <v>54.9630987171</v>
      </c>
      <c r="F17" s="199">
        <v>54963098717.1</v>
      </c>
    </row>
    <row ht="13.8" outlineLevel="0" r="18">
      <c r="A18" s="3">
        <v>39934</v>
      </c>
      <c r="B18" s="199">
        <v>17.885517</v>
      </c>
      <c r="C18" s="199">
        <v>54978113000</v>
      </c>
      <c r="D18" s="199">
        <v>17885517000</v>
      </c>
      <c r="E18" s="199">
        <v>54.9630987171</v>
      </c>
      <c r="F18" s="199">
        <v>54963098717.1</v>
      </c>
    </row>
    <row ht="13.8" outlineLevel="0" r="19">
      <c r="A19" s="3">
        <v>39965</v>
      </c>
      <c r="B19" s="199">
        <v>22.387847</v>
      </c>
      <c r="C19" s="199">
        <v>54978113000</v>
      </c>
      <c r="D19" s="199">
        <v>22387847000</v>
      </c>
      <c r="E19" s="199">
        <v>54.9630987171</v>
      </c>
      <c r="F19" s="199">
        <v>54963098717.1</v>
      </c>
    </row>
    <row ht="13.8" outlineLevel="0" r="20">
      <c r="A20" s="3">
        <v>39995</v>
      </c>
      <c r="B20" s="199">
        <v>26.795128</v>
      </c>
      <c r="C20" s="199">
        <v>55057894000</v>
      </c>
      <c r="D20" s="199">
        <v>26795128000</v>
      </c>
      <c r="E20" s="199">
        <v>54.9630987171</v>
      </c>
      <c r="F20" s="199">
        <v>54963098717.1</v>
      </c>
    </row>
    <row ht="13.8" outlineLevel="0" r="21">
      <c r="A21" s="3">
        <v>40026</v>
      </c>
      <c r="B21" s="199">
        <v>31.143442</v>
      </c>
      <c r="C21" s="199">
        <v>55101341000</v>
      </c>
      <c r="D21" s="199">
        <v>31143442000</v>
      </c>
      <c r="E21" s="199">
        <v>54.9630987171</v>
      </c>
      <c r="F21" s="199">
        <v>54963098717.1</v>
      </c>
    </row>
    <row ht="13.8" outlineLevel="0" r="22">
      <c r="A22" s="3">
        <v>40057</v>
      </c>
      <c r="B22" s="199">
        <v>35.458312</v>
      </c>
      <c r="C22" s="199">
        <v>55136779000</v>
      </c>
      <c r="D22" s="199">
        <v>35458312000</v>
      </c>
      <c r="E22" s="199">
        <v>54.9630987171</v>
      </c>
      <c r="F22" s="199">
        <v>54963098717.1</v>
      </c>
    </row>
    <row ht="13.8" outlineLevel="0" r="23">
      <c r="A23" s="3">
        <v>40087</v>
      </c>
      <c r="B23" s="199">
        <v>39.742136</v>
      </c>
      <c r="C23" s="199">
        <v>57299901000</v>
      </c>
      <c r="D23" s="199">
        <v>39742136000</v>
      </c>
      <c r="E23" s="199">
        <v>54.9630987171</v>
      </c>
      <c r="F23" s="199">
        <v>54963098717.1</v>
      </c>
    </row>
    <row ht="13.8" outlineLevel="0" r="24">
      <c r="A24" s="3">
        <v>40118</v>
      </c>
      <c r="B24" s="199">
        <v>44.641337</v>
      </c>
      <c r="C24" s="199">
        <v>59317443000</v>
      </c>
      <c r="D24" s="199">
        <v>44641337000</v>
      </c>
      <c r="E24" s="199">
        <v>54.9630987171</v>
      </c>
      <c r="F24" s="199">
        <v>54963098717.1</v>
      </c>
    </row>
    <row ht="13.8" outlineLevel="0" r="25">
      <c r="A25" s="3">
        <v>40148</v>
      </c>
      <c r="B25" s="199">
        <v>58.281095</v>
      </c>
      <c r="C25" s="199">
        <v>59691607000</v>
      </c>
      <c r="D25" s="199">
        <v>58281095000</v>
      </c>
      <c r="E25" s="199">
        <v>54.9630987171</v>
      </c>
      <c r="F25" s="199">
        <v>54963098717.1</v>
      </c>
    </row>
    <row ht="13.8" outlineLevel="0" r="26">
      <c r="A26" s="3">
        <v>40179</v>
      </c>
      <c r="B26" s="199">
        <v>2.774147</v>
      </c>
      <c r="C26" s="199">
        <v>62151879000</v>
      </c>
      <c r="D26" s="199">
        <v>2774147000</v>
      </c>
      <c r="E26" s="199">
        <v>61.230118407</v>
      </c>
      <c r="F26" s="199">
        <v>61230118407</v>
      </c>
    </row>
    <row ht="13.8" outlineLevel="0" r="27">
      <c r="A27" s="3">
        <v>40210</v>
      </c>
      <c r="B27" s="199">
        <v>7.002371</v>
      </c>
      <c r="C27" s="199">
        <v>62151879000</v>
      </c>
      <c r="D27" s="199">
        <v>7002371000</v>
      </c>
      <c r="E27" s="199">
        <v>61.230118407</v>
      </c>
      <c r="F27" s="199">
        <v>61230118407</v>
      </c>
    </row>
    <row ht="13.8" outlineLevel="0" r="28">
      <c r="A28" s="3">
        <v>40238</v>
      </c>
      <c r="B28" s="199">
        <v>11.221236</v>
      </c>
      <c r="C28" s="199">
        <v>62151879000</v>
      </c>
      <c r="D28" s="199">
        <v>11221236000</v>
      </c>
      <c r="E28" s="199">
        <v>61.230118407</v>
      </c>
      <c r="F28" s="199">
        <v>61230118407</v>
      </c>
    </row>
    <row ht="13.8" outlineLevel="0" r="29">
      <c r="A29" s="3">
        <v>40269</v>
      </c>
      <c r="B29" s="199">
        <v>15.598611</v>
      </c>
      <c r="C29" s="199">
        <v>62601883000</v>
      </c>
      <c r="D29" s="199">
        <v>15598611000</v>
      </c>
      <c r="E29" s="199">
        <v>61.230118407</v>
      </c>
      <c r="F29" s="199">
        <v>61230118407</v>
      </c>
    </row>
    <row ht="13.8" outlineLevel="0" r="30">
      <c r="A30" s="3">
        <v>40299</v>
      </c>
      <c r="B30" s="199">
        <v>20.521398</v>
      </c>
      <c r="C30" s="199">
        <v>62778357000</v>
      </c>
      <c r="D30" s="199">
        <v>20521398000</v>
      </c>
      <c r="E30" s="199">
        <v>61.230118407</v>
      </c>
      <c r="F30" s="199">
        <v>61230118407</v>
      </c>
    </row>
    <row ht="13.8" outlineLevel="0" r="31">
      <c r="A31" s="3">
        <v>40330</v>
      </c>
      <c r="B31" s="199">
        <v>25.502985</v>
      </c>
      <c r="C31" s="199">
        <v>62778357000</v>
      </c>
      <c r="D31" s="199">
        <v>25502985000</v>
      </c>
      <c r="E31" s="199">
        <v>61.230118407</v>
      </c>
      <c r="F31" s="199">
        <v>61230118407</v>
      </c>
    </row>
    <row ht="13.8" outlineLevel="0" r="32">
      <c r="A32" s="3">
        <v>40360</v>
      </c>
      <c r="B32" s="199">
        <v>30.258396</v>
      </c>
      <c r="C32" s="199">
        <v>62944367000</v>
      </c>
      <c r="D32" s="199">
        <v>30258396000</v>
      </c>
      <c r="E32" s="199">
        <v>61.230118407</v>
      </c>
      <c r="F32" s="199">
        <v>61230118407</v>
      </c>
    </row>
    <row ht="13.8" outlineLevel="0" r="33">
      <c r="A33" s="3">
        <v>40391</v>
      </c>
      <c r="B33" s="199">
        <v>35.23882</v>
      </c>
      <c r="C33" s="199">
        <v>62723683000</v>
      </c>
      <c r="D33" s="199">
        <v>35238820000</v>
      </c>
      <c r="E33" s="199">
        <v>61.230118407</v>
      </c>
      <c r="F33" s="199">
        <v>61230118407</v>
      </c>
    </row>
    <row ht="13.8" outlineLevel="0" r="34">
      <c r="A34" s="3">
        <v>40422</v>
      </c>
      <c r="B34" s="199">
        <v>39.916542</v>
      </c>
      <c r="C34" s="199">
        <v>62747910000</v>
      </c>
      <c r="D34" s="199">
        <v>39916542000</v>
      </c>
      <c r="E34" s="199">
        <v>61.230118407</v>
      </c>
      <c r="F34" s="199">
        <v>61230118407</v>
      </c>
    </row>
    <row ht="13.8" outlineLevel="0" r="35">
      <c r="A35" s="3">
        <v>40452</v>
      </c>
      <c r="B35" s="199">
        <v>44.967378</v>
      </c>
      <c r="C35" s="199">
        <v>62975502000</v>
      </c>
      <c r="D35" s="199">
        <v>44967378000</v>
      </c>
      <c r="E35" s="199">
        <v>61.230118407</v>
      </c>
      <c r="F35" s="199">
        <v>61230118407</v>
      </c>
    </row>
    <row ht="13.8" outlineLevel="0" r="36">
      <c r="A36" s="3">
        <v>40483</v>
      </c>
      <c r="B36" s="199">
        <v>50.251735</v>
      </c>
      <c r="C36" s="199">
        <v>62974707000</v>
      </c>
      <c r="D36" s="199">
        <v>50251735000</v>
      </c>
      <c r="E36" s="199">
        <v>61.230118407</v>
      </c>
      <c r="F36" s="199">
        <v>61230118407</v>
      </c>
    </row>
    <row ht="13.8" outlineLevel="0" r="37">
      <c r="A37" s="3">
        <v>40513</v>
      </c>
      <c r="B37" s="199">
        <v>61.976698</v>
      </c>
      <c r="C37" s="199">
        <v>64419021000</v>
      </c>
      <c r="D37" s="199">
        <v>61976698000</v>
      </c>
      <c r="E37" s="199">
        <v>61.230118407</v>
      </c>
      <c r="F37" s="199">
        <v>61230118407</v>
      </c>
    </row>
    <row ht="13.8" outlineLevel="0" r="38">
      <c r="A38" s="3">
        <v>40544</v>
      </c>
      <c r="B38" s="199">
        <v>3.795317</v>
      </c>
      <c r="C38" s="199">
        <v>58536878000</v>
      </c>
      <c r="D38" s="199">
        <v>3795317000</v>
      </c>
      <c r="E38" s="199">
        <v>72.1284811324</v>
      </c>
      <c r="F38" s="199">
        <v>72128481132.4</v>
      </c>
    </row>
    <row ht="13.8" outlineLevel="0" r="39">
      <c r="A39" s="3">
        <v>40575</v>
      </c>
      <c r="B39" s="199">
        <v>8.812947</v>
      </c>
      <c r="C39" s="199">
        <v>71732097000</v>
      </c>
      <c r="D39" s="199">
        <v>8812947000</v>
      </c>
      <c r="E39" s="199">
        <v>72.1284811324</v>
      </c>
      <c r="F39" s="199">
        <v>72128481132.4</v>
      </c>
    </row>
    <row ht="13.8" outlineLevel="0" r="40">
      <c r="A40" s="3">
        <v>40603</v>
      </c>
      <c r="B40" s="199">
        <v>13.228368</v>
      </c>
      <c r="C40" s="199">
        <v>71479112000</v>
      </c>
      <c r="D40" s="199">
        <v>13228368000</v>
      </c>
      <c r="E40" s="199">
        <v>72.1284811324</v>
      </c>
      <c r="F40" s="199">
        <v>72128481132.4</v>
      </c>
    </row>
    <row ht="13.8" outlineLevel="0" r="41">
      <c r="A41" s="3">
        <v>40634</v>
      </c>
      <c r="B41" s="199">
        <v>17.918179</v>
      </c>
      <c r="C41" s="199">
        <v>71732097000</v>
      </c>
      <c r="D41" s="199">
        <v>17918179000</v>
      </c>
      <c r="E41" s="199">
        <v>72.1284811324</v>
      </c>
      <c r="F41" s="199">
        <v>72128481132.4</v>
      </c>
    </row>
    <row ht="13.8" outlineLevel="0" r="42">
      <c r="A42" s="3">
        <v>40664</v>
      </c>
      <c r="B42" s="199">
        <v>23.225191</v>
      </c>
      <c r="C42" s="199">
        <v>71732097000</v>
      </c>
      <c r="D42" s="199">
        <v>23225191000</v>
      </c>
      <c r="E42" s="199">
        <v>72.1284811324</v>
      </c>
      <c r="F42" s="199">
        <v>72128481132.4</v>
      </c>
    </row>
    <row ht="13.8" outlineLevel="0" r="43">
      <c r="A43" s="3">
        <v>40695</v>
      </c>
      <c r="B43" s="199">
        <v>28.472748</v>
      </c>
      <c r="C43" s="199">
        <v>71479112000</v>
      </c>
      <c r="D43" s="199">
        <v>28472748000</v>
      </c>
      <c r="E43" s="199">
        <v>72.1284811324</v>
      </c>
      <c r="F43" s="199">
        <v>72128481132.4</v>
      </c>
    </row>
    <row ht="13.8" outlineLevel="0" r="44">
      <c r="A44" s="3">
        <v>40725</v>
      </c>
      <c r="B44" s="199">
        <v>33.59474</v>
      </c>
      <c r="C44" s="199">
        <v>72174687000</v>
      </c>
      <c r="D44" s="199">
        <v>33594740000</v>
      </c>
      <c r="E44" s="199">
        <v>72.1284811324</v>
      </c>
      <c r="F44" s="199">
        <v>72128481132.4</v>
      </c>
    </row>
    <row ht="13.8" outlineLevel="0" r="45">
      <c r="A45" s="3">
        <v>40756</v>
      </c>
      <c r="B45" s="199">
        <v>38.752307</v>
      </c>
      <c r="C45" s="199">
        <v>71479112000</v>
      </c>
      <c r="D45" s="199">
        <v>38752307000</v>
      </c>
      <c r="E45" s="199">
        <v>72.1284811324</v>
      </c>
      <c r="F45" s="199">
        <v>72128481132.4</v>
      </c>
    </row>
    <row ht="13.8" outlineLevel="0" r="46">
      <c r="A46" s="3">
        <v>40787</v>
      </c>
      <c r="B46" s="199">
        <v>44.102355</v>
      </c>
      <c r="C46" s="199">
        <v>72197828000</v>
      </c>
      <c r="D46" s="199">
        <v>44102355000</v>
      </c>
      <c r="E46" s="199">
        <v>72.1284811324</v>
      </c>
      <c r="F46" s="199">
        <v>72128481132.4</v>
      </c>
    </row>
    <row ht="13.8" outlineLevel="0" r="47">
      <c r="A47" s="3">
        <v>40817</v>
      </c>
      <c r="B47" s="199">
        <v>49.419621</v>
      </c>
      <c r="C47" s="199">
        <v>72373950000</v>
      </c>
      <c r="D47" s="199">
        <v>49419621000</v>
      </c>
      <c r="E47" s="199">
        <v>72.1284811324</v>
      </c>
      <c r="F47" s="199">
        <v>72128481132.4</v>
      </c>
    </row>
    <row ht="13.8" outlineLevel="0" r="48">
      <c r="A48" s="3">
        <v>40848</v>
      </c>
      <c r="B48" s="199">
        <v>55.347084</v>
      </c>
      <c r="C48" s="199">
        <v>72722131000</v>
      </c>
      <c r="D48" s="199">
        <v>55347084000</v>
      </c>
      <c r="E48" s="199">
        <v>72.1284811324</v>
      </c>
      <c r="F48" s="199">
        <v>72128481132.4</v>
      </c>
    </row>
    <row ht="13.8" outlineLevel="0" r="49">
      <c r="A49" s="3">
        <v>40878</v>
      </c>
      <c r="B49" s="199">
        <v>72.356648</v>
      </c>
      <c r="C49" s="199">
        <v>74678303000</v>
      </c>
      <c r="D49" s="199">
        <v>72356648000</v>
      </c>
      <c r="E49" s="199">
        <v>72.1284811324</v>
      </c>
      <c r="F49" s="199">
        <v>72128481132.4</v>
      </c>
    </row>
    <row ht="13.8" outlineLevel="0" r="50">
      <c r="A50" s="3">
        <v>40909</v>
      </c>
      <c r="B50" s="199">
        <v>1.335016</v>
      </c>
      <c r="C50" s="199">
        <v>85513925000</v>
      </c>
      <c r="D50" s="199">
        <v>1335016000</v>
      </c>
      <c r="E50" s="199">
        <v>79.5127204872</v>
      </c>
      <c r="F50" s="199">
        <v>79512720487.2</v>
      </c>
    </row>
    <row ht="13.8" outlineLevel="0" r="51">
      <c r="A51" s="3">
        <v>40940</v>
      </c>
      <c r="B51" s="199">
        <v>6.600794</v>
      </c>
      <c r="C51" s="199">
        <v>85514225000</v>
      </c>
      <c r="D51" s="199">
        <v>6600794000</v>
      </c>
      <c r="E51" s="199">
        <v>79.5127204872</v>
      </c>
      <c r="F51" s="199">
        <v>79512720487.2</v>
      </c>
    </row>
    <row ht="13.8" outlineLevel="0" r="52">
      <c r="A52" s="3">
        <v>40969</v>
      </c>
      <c r="B52" s="199">
        <v>12.729771</v>
      </c>
      <c r="C52" s="199">
        <v>85513925000</v>
      </c>
      <c r="D52" s="199">
        <v>12729771000</v>
      </c>
      <c r="E52" s="199">
        <v>79.5127204872</v>
      </c>
      <c r="F52" s="199">
        <v>79512720487.2</v>
      </c>
    </row>
    <row ht="13.8" outlineLevel="0" r="53">
      <c r="A53" s="3">
        <v>41000</v>
      </c>
      <c r="B53" s="199">
        <v>19.020398</v>
      </c>
      <c r="C53" s="199">
        <v>85514423000</v>
      </c>
      <c r="D53" s="199">
        <v>19020398000</v>
      </c>
      <c r="E53" s="199">
        <v>79.5127204872</v>
      </c>
      <c r="F53" s="199">
        <v>79512720487.2</v>
      </c>
    </row>
    <row ht="13.8" outlineLevel="0" r="54">
      <c r="A54" s="3">
        <v>41030</v>
      </c>
      <c r="B54" s="199">
        <v>24.515237</v>
      </c>
      <c r="C54" s="199">
        <v>85634999000</v>
      </c>
      <c r="D54" s="199">
        <v>24515237000</v>
      </c>
      <c r="E54" s="199">
        <v>79.5127204872</v>
      </c>
      <c r="F54" s="199">
        <v>79512720487.2</v>
      </c>
    </row>
    <row ht="13.8" outlineLevel="0" r="55">
      <c r="A55" s="3">
        <v>41061</v>
      </c>
      <c r="B55" s="199">
        <v>29.028508</v>
      </c>
      <c r="C55" s="199">
        <v>86136004000</v>
      </c>
      <c r="D55" s="199">
        <v>29028508000</v>
      </c>
      <c r="E55" s="199">
        <v>79.5127204872</v>
      </c>
      <c r="F55" s="199">
        <v>79512720487.2</v>
      </c>
    </row>
    <row ht="13.8" outlineLevel="0" r="56">
      <c r="A56" s="3">
        <v>41091</v>
      </c>
      <c r="B56" s="199">
        <v>34.81465</v>
      </c>
      <c r="C56" s="199">
        <v>86195754000</v>
      </c>
      <c r="D56" s="199">
        <v>34814650000</v>
      </c>
      <c r="E56" s="199">
        <v>79.5127204872</v>
      </c>
      <c r="F56" s="199">
        <v>79512720487.2</v>
      </c>
    </row>
    <row ht="13.8" outlineLevel="0" r="57">
      <c r="A57" s="3">
        <v>41122</v>
      </c>
      <c r="B57" s="199">
        <v>41.415333</v>
      </c>
      <c r="C57" s="199">
        <v>85513925000</v>
      </c>
      <c r="D57" s="199">
        <v>41415333000</v>
      </c>
      <c r="E57" s="199">
        <v>79.5127204872</v>
      </c>
      <c r="F57" s="199">
        <v>79512720487.2</v>
      </c>
    </row>
    <row ht="13.8" outlineLevel="0" r="58">
      <c r="A58" s="3">
        <v>41153</v>
      </c>
      <c r="B58" s="199">
        <v>48.160875</v>
      </c>
      <c r="C58" s="199">
        <v>86195754000</v>
      </c>
      <c r="D58" s="199">
        <v>48160875000</v>
      </c>
      <c r="E58" s="199">
        <v>79.5127204872</v>
      </c>
      <c r="F58" s="199">
        <v>79512720487.2</v>
      </c>
    </row>
    <row ht="13.8" outlineLevel="0" r="59">
      <c r="A59" s="3">
        <v>41183</v>
      </c>
      <c r="B59" s="199">
        <v>54.086742</v>
      </c>
      <c r="C59" s="199">
        <v>86740338000</v>
      </c>
      <c r="D59" s="199">
        <v>54086742000</v>
      </c>
      <c r="E59" s="199">
        <v>79.5127204872</v>
      </c>
      <c r="F59" s="199">
        <v>79512720487.2</v>
      </c>
    </row>
    <row ht="13.8" outlineLevel="0" r="60">
      <c r="A60" s="3">
        <v>41214</v>
      </c>
      <c r="B60" s="199">
        <v>61.013909</v>
      </c>
      <c r="C60" s="199">
        <v>86819056000</v>
      </c>
      <c r="D60" s="199">
        <v>61013909000</v>
      </c>
      <c r="E60" s="199">
        <v>79.5127204872</v>
      </c>
      <c r="F60" s="199">
        <v>79512720487.2</v>
      </c>
    </row>
    <row ht="13.8" outlineLevel="0" r="61">
      <c r="A61" s="3">
        <v>41244</v>
      </c>
      <c r="B61" s="199">
        <v>80.073777</v>
      </c>
      <c r="C61" s="199">
        <v>89175025000</v>
      </c>
      <c r="D61" s="199">
        <v>80073777000</v>
      </c>
      <c r="E61" s="199">
        <v>79.5127204872</v>
      </c>
      <c r="F61" s="199">
        <v>79512720487.2</v>
      </c>
    </row>
    <row ht="13.8" outlineLevel="0" r="62">
      <c r="A62" s="3">
        <v>41275</v>
      </c>
      <c r="B62" s="199">
        <v>1.473087</v>
      </c>
      <c r="C62" s="199">
        <v>73500123000</v>
      </c>
      <c r="D62" s="199">
        <v>1473087000</v>
      </c>
      <c r="E62" s="199">
        <v>82.9112075942</v>
      </c>
      <c r="F62" s="199">
        <v>82911207594.2</v>
      </c>
    </row>
    <row ht="13.8" outlineLevel="0" r="63">
      <c r="A63" s="3">
        <v>41306</v>
      </c>
      <c r="B63" s="199">
        <v>6.9144</v>
      </c>
      <c r="C63" s="199">
        <v>73916788000</v>
      </c>
      <c r="D63" s="199">
        <v>6914400000</v>
      </c>
      <c r="E63" s="199">
        <v>82.9112075942</v>
      </c>
      <c r="F63" s="199">
        <v>82911207594.2</v>
      </c>
    </row>
    <row ht="13.8" outlineLevel="0" r="64">
      <c r="A64" s="3">
        <v>41334</v>
      </c>
      <c r="B64" s="199">
        <v>13.113687</v>
      </c>
      <c r="C64" s="199">
        <v>75734980000</v>
      </c>
      <c r="D64" s="199">
        <v>13113687000</v>
      </c>
      <c r="E64" s="199">
        <v>82.9112075942</v>
      </c>
      <c r="F64" s="199">
        <v>82911207594.2</v>
      </c>
    </row>
    <row ht="13.8" outlineLevel="0" r="65">
      <c r="A65" s="3">
        <v>41365</v>
      </c>
      <c r="B65" s="199">
        <v>19.25276</v>
      </c>
      <c r="C65" s="199">
        <v>93145104000</v>
      </c>
      <c r="D65" s="199">
        <v>19252760000</v>
      </c>
      <c r="E65" s="199">
        <v>82.9112075942</v>
      </c>
      <c r="F65" s="199">
        <v>82911207594.2</v>
      </c>
    </row>
    <row ht="13.8" outlineLevel="0" r="66">
      <c r="A66" s="3">
        <v>41395</v>
      </c>
      <c r="B66" s="199">
        <v>25.85581</v>
      </c>
      <c r="C66" s="199">
        <v>91280835000</v>
      </c>
      <c r="D66" s="199">
        <v>25855810000</v>
      </c>
      <c r="E66" s="199">
        <v>82.9112075942</v>
      </c>
      <c r="F66" s="199">
        <v>82911207594.2</v>
      </c>
    </row>
    <row ht="13.8" outlineLevel="0" r="67">
      <c r="A67" s="3">
        <v>41426</v>
      </c>
      <c r="B67" s="199">
        <v>32.717804</v>
      </c>
      <c r="C67" s="199">
        <v>92078199000</v>
      </c>
      <c r="D67" s="199">
        <v>32717804000</v>
      </c>
      <c r="E67" s="199">
        <v>82.9112075942</v>
      </c>
      <c r="F67" s="199">
        <v>82911207594.2</v>
      </c>
    </row>
    <row ht="13.8" outlineLevel="0" r="68">
      <c r="A68" s="3">
        <v>41456</v>
      </c>
      <c r="B68" s="199">
        <v>38.951175</v>
      </c>
      <c r="C68" s="199">
        <v>92044438000</v>
      </c>
      <c r="D68" s="199">
        <v>38951175000</v>
      </c>
      <c r="E68" s="199">
        <v>82.9112075942</v>
      </c>
      <c r="F68" s="199">
        <v>82911207594.2</v>
      </c>
    </row>
    <row ht="13.8" outlineLevel="0" r="69">
      <c r="A69" s="3">
        <v>41487</v>
      </c>
      <c r="B69" s="199">
        <v>46.515008</v>
      </c>
      <c r="C69" s="199">
        <v>92045896000</v>
      </c>
      <c r="D69" s="199">
        <v>46515008000</v>
      </c>
      <c r="E69" s="199">
        <v>82.9112075942</v>
      </c>
      <c r="F69" s="199">
        <v>82911207594.2</v>
      </c>
    </row>
    <row ht="13.8" outlineLevel="0" r="70">
      <c r="A70" s="3">
        <v>41518</v>
      </c>
      <c r="B70" s="199">
        <v>53.117222</v>
      </c>
      <c r="C70" s="199">
        <v>92046717000</v>
      </c>
      <c r="D70" s="199">
        <v>53117222000</v>
      </c>
      <c r="E70" s="199">
        <v>82.9112075942</v>
      </c>
      <c r="F70" s="199">
        <v>82911207594.2</v>
      </c>
    </row>
    <row ht="13.8" outlineLevel="0" r="71">
      <c r="A71" s="3">
        <v>41548</v>
      </c>
      <c r="B71" s="199">
        <v>60.349265</v>
      </c>
      <c r="C71" s="199">
        <v>92440839000</v>
      </c>
      <c r="D71" s="199">
        <v>60349265000</v>
      </c>
      <c r="E71" s="199">
        <v>82.9112075942</v>
      </c>
      <c r="F71" s="199">
        <v>82911207594.2</v>
      </c>
    </row>
    <row ht="13.8" outlineLevel="0" r="72">
      <c r="A72" s="3">
        <v>41579</v>
      </c>
      <c r="B72" s="199">
        <v>67.194802</v>
      </c>
      <c r="C72" s="199">
        <v>90696689000</v>
      </c>
      <c r="D72" s="199">
        <v>67194802000</v>
      </c>
      <c r="E72" s="199">
        <v>82.9112075942</v>
      </c>
      <c r="F72" s="199">
        <v>82911207594.2</v>
      </c>
    </row>
    <row ht="13.8" outlineLevel="0" r="73">
      <c r="A73" s="3">
        <v>41609</v>
      </c>
      <c r="B73" s="199">
        <v>83.053256</v>
      </c>
      <c r="C73" s="199">
        <v>90161494000</v>
      </c>
      <c r="D73" s="199">
        <v>83053256000</v>
      </c>
      <c r="E73" s="199">
        <v>82.9112075942</v>
      </c>
      <c r="F73" s="199">
        <v>82911207594.2</v>
      </c>
    </row>
    <row ht="13.8" outlineLevel="0" r="74">
      <c r="A74" s="3">
        <v>41640</v>
      </c>
      <c r="B74" s="199">
        <v>5.213533</v>
      </c>
      <c r="C74" s="199">
        <v>95785096000</v>
      </c>
      <c r="D74" s="199">
        <v>5213533000</v>
      </c>
      <c r="E74" s="199">
        <v>91.6140866367584</v>
      </c>
      <c r="F74" s="199">
        <v>91614086636.7584</v>
      </c>
    </row>
    <row ht="13.8" outlineLevel="0" r="75">
      <c r="A75" s="3">
        <v>41671</v>
      </c>
      <c r="B75" s="199">
        <v>11.600174</v>
      </c>
      <c r="C75" s="199">
        <v>95785096000</v>
      </c>
      <c r="D75" s="199">
        <v>11600174000</v>
      </c>
      <c r="E75" s="199">
        <v>91.6140866367584</v>
      </c>
      <c r="F75" s="199">
        <v>91614086636.7584</v>
      </c>
    </row>
    <row ht="13.8" outlineLevel="0" r="76">
      <c r="A76" s="3">
        <v>41699</v>
      </c>
      <c r="B76" s="199">
        <v>18.838566</v>
      </c>
      <c r="C76" s="199">
        <v>95787757000</v>
      </c>
      <c r="D76" s="199">
        <v>18838566000</v>
      </c>
      <c r="E76" s="199">
        <v>91.6140866367584</v>
      </c>
      <c r="F76" s="199">
        <v>91614086636.7584</v>
      </c>
    </row>
    <row ht="13.8" outlineLevel="0" r="77">
      <c r="A77" s="3">
        <v>41730</v>
      </c>
      <c r="B77" s="199">
        <v>25.689312</v>
      </c>
      <c r="C77" s="199">
        <v>95787757000</v>
      </c>
      <c r="D77" s="199">
        <v>25689312000</v>
      </c>
      <c r="E77" s="199">
        <v>91.6140866367584</v>
      </c>
      <c r="F77" s="199">
        <v>91614086636.7584</v>
      </c>
    </row>
    <row ht="13.8" outlineLevel="0" r="78">
      <c r="A78" s="3">
        <v>41760</v>
      </c>
      <c r="B78" s="199">
        <v>35.549013</v>
      </c>
      <c r="C78" s="199">
        <v>96432043000</v>
      </c>
      <c r="D78" s="199">
        <v>35549013000</v>
      </c>
      <c r="E78" s="199">
        <v>91.6140866367584</v>
      </c>
      <c r="F78" s="199">
        <v>91614086636.7584</v>
      </c>
    </row>
    <row ht="13.8" outlineLevel="0" r="79">
      <c r="A79" s="3">
        <v>41791</v>
      </c>
      <c r="B79" s="199">
        <v>41.268176</v>
      </c>
      <c r="C79" s="199">
        <v>96432043000</v>
      </c>
      <c r="D79" s="199">
        <v>41268176000</v>
      </c>
      <c r="E79" s="199">
        <v>91.6140866367584</v>
      </c>
      <c r="F79" s="199">
        <v>91614086636.7584</v>
      </c>
    </row>
    <row ht="13.8" outlineLevel="0" r="80">
      <c r="A80" s="3">
        <v>41821</v>
      </c>
      <c r="B80" s="199">
        <v>48.57936</v>
      </c>
      <c r="C80" s="199">
        <v>96435491000</v>
      </c>
      <c r="D80" s="199">
        <v>48579360000</v>
      </c>
      <c r="E80" s="199">
        <v>91.6140866367584</v>
      </c>
      <c r="F80" s="199">
        <v>91614086636.7584</v>
      </c>
    </row>
    <row ht="13.8" outlineLevel="0" r="81">
      <c r="A81" s="3">
        <v>41852</v>
      </c>
      <c r="B81" s="199">
        <v>56.739576</v>
      </c>
      <c r="C81" s="199">
        <v>96435491000</v>
      </c>
      <c r="D81" s="199">
        <v>56739576000</v>
      </c>
      <c r="E81" s="199">
        <v>91.6140866367584</v>
      </c>
      <c r="F81" s="199">
        <v>91614086636.7584</v>
      </c>
    </row>
    <row ht="13.8" outlineLevel="0" r="82">
      <c r="A82" s="3">
        <v>41883</v>
      </c>
      <c r="B82" s="199">
        <v>63.783741</v>
      </c>
      <c r="C82" s="199">
        <v>96762851000</v>
      </c>
      <c r="D82" s="199">
        <v>63783741000</v>
      </c>
      <c r="E82" s="199">
        <v>91.6140866367584</v>
      </c>
      <c r="F82" s="199">
        <v>91614086636.7584</v>
      </c>
    </row>
    <row ht="13.8" outlineLevel="0" r="83">
      <c r="A83" s="3">
        <v>41913</v>
      </c>
      <c r="B83" s="199">
        <v>71.457677</v>
      </c>
      <c r="C83" s="199">
        <v>96820486000</v>
      </c>
      <c r="D83" s="199">
        <v>71457677000</v>
      </c>
      <c r="E83" s="199">
        <v>91.6140866367584</v>
      </c>
      <c r="F83" s="199">
        <v>91614086636.7584</v>
      </c>
    </row>
    <row ht="13.8" outlineLevel="0" r="84">
      <c r="A84" s="3">
        <v>41944</v>
      </c>
      <c r="B84" s="199">
        <v>79.164998</v>
      </c>
      <c r="C84" s="199">
        <v>96847108000</v>
      </c>
      <c r="D84" s="199">
        <v>79164998000</v>
      </c>
      <c r="E84" s="199">
        <v>91.6140866367584</v>
      </c>
      <c r="F84" s="199">
        <v>91614086636.7584</v>
      </c>
    </row>
    <row ht="13.8" outlineLevel="0" r="85">
      <c r="A85" s="3">
        <v>41974</v>
      </c>
      <c r="B85" s="199">
        <v>91.898531</v>
      </c>
      <c r="C85" s="199">
        <v>97587386000</v>
      </c>
      <c r="D85" s="199">
        <v>91898531000</v>
      </c>
      <c r="E85" s="199">
        <v>91.6140866367584</v>
      </c>
      <c r="F85" s="199">
        <v>91614086636.7584</v>
      </c>
    </row>
    <row ht="13.8" outlineLevel="0" r="86">
      <c r="A86" s="3">
        <v>42005</v>
      </c>
      <c r="B86" s="199">
        <v>8.661029</v>
      </c>
      <c r="C86" s="199">
        <v>100300590000</v>
      </c>
      <c r="D86" s="199">
        <v>8661029000</v>
      </c>
      <c r="E86" s="199">
        <v>98.3089957385829</v>
      </c>
      <c r="F86" s="199">
        <v>98308995738.5829</v>
      </c>
    </row>
    <row ht="13.8" outlineLevel="0" r="87">
      <c r="A87" s="3">
        <v>42036</v>
      </c>
      <c r="B87" s="199">
        <v>15.358942</v>
      </c>
      <c r="C87" s="199">
        <v>100352923000</v>
      </c>
      <c r="D87" s="199">
        <v>15358942000</v>
      </c>
      <c r="E87" s="199">
        <v>98.3089957385829</v>
      </c>
      <c r="F87" s="199">
        <v>98308995738.5829</v>
      </c>
    </row>
    <row ht="13.8" outlineLevel="0" r="88">
      <c r="A88" s="3">
        <v>42064</v>
      </c>
      <c r="B88" s="199">
        <v>22.903785</v>
      </c>
      <c r="C88" s="199">
        <v>100405257000</v>
      </c>
      <c r="D88" s="199">
        <v>22903785000</v>
      </c>
      <c r="E88" s="199">
        <v>98.3089957385829</v>
      </c>
      <c r="F88" s="199">
        <v>98308995738.5829</v>
      </c>
    </row>
    <row ht="13.8" outlineLevel="0" r="89">
      <c r="A89" s="3">
        <v>42095</v>
      </c>
      <c r="B89" s="199">
        <v>30.491756</v>
      </c>
      <c r="C89" s="199">
        <v>112356696000</v>
      </c>
      <c r="D89" s="199">
        <v>30491756000</v>
      </c>
      <c r="E89" s="199">
        <v>98.3089957385829</v>
      </c>
      <c r="F89" s="199">
        <v>98308995738.5829</v>
      </c>
    </row>
    <row ht="13.8" outlineLevel="0" r="90">
      <c r="A90" s="3">
        <v>42125</v>
      </c>
      <c r="B90" s="199">
        <v>38.588745</v>
      </c>
      <c r="C90" s="199">
        <v>112356696000</v>
      </c>
      <c r="D90" s="199">
        <v>38588745000</v>
      </c>
      <c r="E90" s="199">
        <v>98.3089957385829</v>
      </c>
      <c r="F90" s="199">
        <v>98308995738.5829</v>
      </c>
    </row>
    <row ht="13.8" outlineLevel="0" r="91">
      <c r="A91" s="3">
        <v>42156</v>
      </c>
      <c r="B91" s="199">
        <v>46.481883</v>
      </c>
      <c r="C91" s="199">
        <v>111557323000</v>
      </c>
      <c r="D91" s="199">
        <v>46481883000</v>
      </c>
      <c r="E91" s="199">
        <v>98.3089957385829</v>
      </c>
      <c r="F91" s="199">
        <v>98308995738.5829</v>
      </c>
    </row>
    <row ht="13.8" outlineLevel="0" r="92">
      <c r="A92" s="3">
        <v>42186</v>
      </c>
      <c r="B92" s="199">
        <v>54.707202</v>
      </c>
      <c r="C92" s="199">
        <v>111105232000</v>
      </c>
      <c r="D92" s="199">
        <v>54707202000</v>
      </c>
      <c r="E92" s="199">
        <v>98.3089957385829</v>
      </c>
      <c r="F92" s="199">
        <v>98308995738.5829</v>
      </c>
    </row>
    <row ht="13.8" outlineLevel="0" r="93">
      <c r="A93" s="3">
        <v>42217</v>
      </c>
      <c r="B93" s="199">
        <v>62.118285</v>
      </c>
      <c r="C93" s="199">
        <v>111135485000</v>
      </c>
      <c r="D93" s="199">
        <v>62118285000</v>
      </c>
      <c r="E93" s="199">
        <v>98.3089957385829</v>
      </c>
      <c r="F93" s="199">
        <v>98308995738.5829</v>
      </c>
    </row>
    <row ht="13.8" outlineLevel="0" r="94">
      <c r="A94" s="3">
        <v>42248</v>
      </c>
      <c r="B94" s="199">
        <v>70.418721</v>
      </c>
      <c r="C94" s="199">
        <v>111135485000</v>
      </c>
      <c r="D94" s="199">
        <v>70418721000</v>
      </c>
      <c r="E94" s="199">
        <v>98.3089957385829</v>
      </c>
      <c r="F94" s="199">
        <v>98308995738.5829</v>
      </c>
    </row>
    <row ht="13.8" outlineLevel="0" r="95">
      <c r="A95" s="3">
        <v>42278</v>
      </c>
      <c r="B95" s="199">
        <v>78.273958</v>
      </c>
      <c r="C95" s="199">
        <v>110861850000</v>
      </c>
      <c r="D95" s="199">
        <v>78273958000</v>
      </c>
      <c r="E95" s="199">
        <v>98.3089957385829</v>
      </c>
      <c r="F95" s="199">
        <v>98308995738.5829</v>
      </c>
    </row>
    <row ht="13.8" outlineLevel="0" r="96">
      <c r="A96" s="3">
        <v>42309</v>
      </c>
      <c r="B96" s="199">
        <v>85.163056</v>
      </c>
      <c r="C96" s="199">
        <v>110866271000</v>
      </c>
      <c r="D96" s="199">
        <v>85163056000</v>
      </c>
      <c r="E96" s="199">
        <v>98.3089957385829</v>
      </c>
      <c r="F96" s="199">
        <v>98308995738.5829</v>
      </c>
    </row>
    <row ht="13.8" outlineLevel="0" r="97">
      <c r="A97" s="3">
        <v>42339</v>
      </c>
      <c r="B97" s="199">
        <v>100.054862</v>
      </c>
      <c r="C97" s="199">
        <v>110043689000</v>
      </c>
      <c r="D97" s="199">
        <v>100054862000</v>
      </c>
      <c r="E97" s="199">
        <v>98.3089957385829</v>
      </c>
      <c r="F97" s="199">
        <v>98308995738.5829</v>
      </c>
    </row>
    <row ht="13.8" outlineLevel="0" r="98">
      <c r="A98" s="3">
        <v>42370</v>
      </c>
      <c r="B98" s="199">
        <v>5.533551</v>
      </c>
      <c r="C98" s="199">
        <v>108984083000</v>
      </c>
      <c r="D98" s="199">
        <v>5533551000</v>
      </c>
      <c r="E98" s="199">
        <v>95.366607468</v>
      </c>
      <c r="F98" s="199">
        <v>95366607468</v>
      </c>
    </row>
    <row ht="13.8" outlineLevel="0" r="99">
      <c r="A99" s="3">
        <v>42401</v>
      </c>
      <c r="B99" s="199">
        <v>12.700826</v>
      </c>
      <c r="C99" s="199">
        <v>109036436000</v>
      </c>
      <c r="D99" s="199">
        <v>12700826000</v>
      </c>
      <c r="E99" s="199">
        <v>95.366607468</v>
      </c>
      <c r="F99" s="199">
        <v>95366607468</v>
      </c>
    </row>
    <row ht="13.8" outlineLevel="0" r="100">
      <c r="A100" s="3">
        <v>42430</v>
      </c>
      <c r="B100" s="199">
        <v>21.265008</v>
      </c>
      <c r="C100" s="199">
        <v>109036436000</v>
      </c>
      <c r="D100" s="199">
        <v>21265008000</v>
      </c>
      <c r="E100" s="199">
        <v>95.366607468</v>
      </c>
      <c r="F100" s="199">
        <v>95366607468</v>
      </c>
    </row>
    <row ht="13.8" outlineLevel="0" r="101">
      <c r="A101" s="3">
        <v>42461</v>
      </c>
      <c r="B101" s="199">
        <v>29.176945</v>
      </c>
      <c r="C101" s="199">
        <v>109036427000</v>
      </c>
      <c r="D101" s="199">
        <v>29176945000</v>
      </c>
      <c r="E101" s="199">
        <v>95.366607468</v>
      </c>
      <c r="F101" s="199">
        <v>95366607468</v>
      </c>
    </row>
    <row ht="13.8" outlineLevel="0" r="102">
      <c r="A102" s="3">
        <v>42491</v>
      </c>
      <c r="B102" s="199">
        <v>37.632803</v>
      </c>
      <c r="C102" s="199">
        <v>108553516000</v>
      </c>
      <c r="D102" s="199">
        <v>37632803000</v>
      </c>
      <c r="E102" s="199">
        <v>95.366607468</v>
      </c>
      <c r="F102" s="199">
        <v>95366607468</v>
      </c>
    </row>
    <row ht="13.8" outlineLevel="0" r="103">
      <c r="A103" s="3">
        <v>42522</v>
      </c>
      <c r="B103" s="199">
        <v>46.489074</v>
      </c>
      <c r="C103" s="199">
        <v>108553516000</v>
      </c>
      <c r="D103" s="199">
        <v>46489074000</v>
      </c>
      <c r="E103" s="199">
        <v>95.366607468</v>
      </c>
      <c r="F103" s="199">
        <v>95366607468</v>
      </c>
    </row>
    <row ht="13.8" outlineLevel="0" r="104">
      <c r="A104" s="3">
        <v>42552</v>
      </c>
      <c r="B104" s="199">
        <v>55.136701</v>
      </c>
      <c r="C104" s="199">
        <v>108565028000</v>
      </c>
      <c r="D104" s="199">
        <v>55136701000</v>
      </c>
      <c r="E104" s="199">
        <v>95.366607468</v>
      </c>
      <c r="F104" s="199">
        <v>95366607468</v>
      </c>
    </row>
    <row ht="13.8" outlineLevel="0" r="105">
      <c r="A105" s="3">
        <v>42583</v>
      </c>
      <c r="B105" s="199">
        <v>62.155483</v>
      </c>
      <c r="C105" s="199">
        <v>108665941000</v>
      </c>
      <c r="D105" s="199">
        <v>62155483000</v>
      </c>
      <c r="E105" s="199">
        <v>95.366607468</v>
      </c>
      <c r="F105" s="199">
        <v>95366607468</v>
      </c>
    </row>
    <row ht="13.8" outlineLevel="0" r="106">
      <c r="A106" s="3">
        <v>42614</v>
      </c>
      <c r="B106" s="199">
        <v>71.16058</v>
      </c>
      <c r="C106" s="199">
        <v>118914409000</v>
      </c>
      <c r="D106" s="199">
        <v>71160580000</v>
      </c>
      <c r="E106" s="199">
        <v>95.366607468</v>
      </c>
      <c r="F106" s="199">
        <v>95366607468</v>
      </c>
    </row>
    <row ht="13.8" outlineLevel="0" r="107">
      <c r="A107" s="3">
        <v>42644</v>
      </c>
      <c r="B107" s="199">
        <v>79.069572</v>
      </c>
      <c r="C107" s="199">
        <v>108586425000</v>
      </c>
      <c r="D107" s="199">
        <v>79069572000</v>
      </c>
      <c r="E107" s="199">
        <v>95.366607468</v>
      </c>
      <c r="F107" s="199">
        <v>95366607468</v>
      </c>
    </row>
    <row ht="13.8" outlineLevel="0" r="108">
      <c r="A108" s="3">
        <v>42675</v>
      </c>
      <c r="B108" s="199">
        <v>87.652394</v>
      </c>
      <c r="C108" s="199">
        <v>108555808000</v>
      </c>
      <c r="D108" s="199">
        <v>87652394000</v>
      </c>
      <c r="E108" s="199">
        <v>95.366607468</v>
      </c>
      <c r="F108" s="199">
        <v>95366607468</v>
      </c>
    </row>
    <row ht="13.8" outlineLevel="0" r="109">
      <c r="A109" s="3">
        <v>42705</v>
      </c>
      <c r="B109" s="199">
        <v>106.235537</v>
      </c>
      <c r="C109" s="199">
        <v>109921383000</v>
      </c>
      <c r="D109" s="199">
        <v>106235537000</v>
      </c>
      <c r="E109" s="199">
        <v>95.366607468</v>
      </c>
      <c r="F109" s="199">
        <v>95366607468</v>
      </c>
    </row>
    <row ht="13.8" outlineLevel="0" r="110">
      <c r="A110" s="3">
        <v>42736</v>
      </c>
      <c r="B110" s="199">
        <v>5.885743</v>
      </c>
      <c r="C110" s="199">
        <v>115309019000</v>
      </c>
      <c r="D110" s="199">
        <v>5885743000</v>
      </c>
      <c r="E110" s="199">
        <v>109.088149</v>
      </c>
      <c r="F110" s="199">
        <v>109088149000</v>
      </c>
    </row>
    <row ht="13.8" outlineLevel="0" r="111">
      <c r="A111" s="3">
        <v>42767</v>
      </c>
      <c r="B111" s="199">
        <v>13.493224</v>
      </c>
      <c r="C111" s="199">
        <v>115309019000</v>
      </c>
      <c r="D111" s="199">
        <v>13493224000</v>
      </c>
      <c r="E111" s="199">
        <v>109.088149</v>
      </c>
      <c r="F111" s="199">
        <v>109088149000</v>
      </c>
    </row>
    <row ht="13.8" outlineLevel="0" r="112">
      <c r="A112" s="3">
        <v>42795</v>
      </c>
      <c r="B112" s="199">
        <v>22.01201</v>
      </c>
      <c r="C112" s="199">
        <v>114600485000</v>
      </c>
      <c r="D112" s="199">
        <v>22012010000</v>
      </c>
      <c r="E112" s="199">
        <v>109.088149</v>
      </c>
      <c r="F112" s="199">
        <v>109088149000</v>
      </c>
    </row>
    <row ht="13.8" outlineLevel="0" r="113">
      <c r="A113" s="3">
        <v>42826</v>
      </c>
      <c r="B113" s="199">
        <v>30.200671</v>
      </c>
      <c r="C113" s="199">
        <v>113866513000</v>
      </c>
      <c r="D113" s="199">
        <v>30200671000</v>
      </c>
      <c r="E113" s="199">
        <v>109.088149</v>
      </c>
      <c r="F113" s="199">
        <v>109088149000</v>
      </c>
    </row>
    <row ht="13.8" outlineLevel="0" r="114">
      <c r="A114" s="3">
        <v>42856</v>
      </c>
      <c r="B114" s="199">
        <v>39.909164</v>
      </c>
      <c r="C114" s="199">
        <v>113867343000</v>
      </c>
      <c r="D114" s="199">
        <v>39909164000</v>
      </c>
      <c r="E114" s="199">
        <v>109.088149</v>
      </c>
      <c r="F114" s="199">
        <v>109088149000</v>
      </c>
    </row>
    <row ht="13.8" outlineLevel="0" r="115">
      <c r="A115" s="3">
        <v>42887</v>
      </c>
      <c r="B115" s="199">
        <v>48.052118</v>
      </c>
      <c r="C115" s="199">
        <v>113867343000</v>
      </c>
      <c r="D115" s="199">
        <v>48052118000</v>
      </c>
      <c r="E115" s="199">
        <v>109.088149</v>
      </c>
      <c r="F115" s="199">
        <v>109088149000</v>
      </c>
    </row>
    <row ht="13.8" outlineLevel="0" r="116">
      <c r="A116" s="3">
        <v>42917</v>
      </c>
      <c r="B116" s="199">
        <v>56.017745</v>
      </c>
      <c r="C116" s="199">
        <v>113879926000</v>
      </c>
      <c r="D116" s="199">
        <v>56017745000</v>
      </c>
      <c r="E116" s="199">
        <v>109.088149</v>
      </c>
      <c r="F116" s="199">
        <v>109088149000</v>
      </c>
    </row>
    <row ht="13.8" outlineLevel="0" r="117">
      <c r="A117" s="3">
        <v>42948</v>
      </c>
      <c r="B117" s="199">
        <v>65.432504</v>
      </c>
      <c r="C117" s="199">
        <v>114070257000</v>
      </c>
      <c r="D117" s="199">
        <v>65432504000</v>
      </c>
      <c r="E117" s="199">
        <v>109.088149</v>
      </c>
      <c r="F117" s="199">
        <v>109088149000</v>
      </c>
    </row>
    <row ht="13.8" outlineLevel="0" r="118">
      <c r="A118" s="3">
        <v>42979</v>
      </c>
      <c r="B118" s="199">
        <v>74.219203</v>
      </c>
      <c r="C118" s="199">
        <v>114070257000</v>
      </c>
      <c r="D118" s="199">
        <v>74219203000</v>
      </c>
      <c r="E118" s="199">
        <v>109.088149</v>
      </c>
      <c r="F118" s="199">
        <v>109088149000</v>
      </c>
    </row>
    <row ht="13.8" outlineLevel="0" r="119">
      <c r="A119" s="3">
        <v>43009</v>
      </c>
      <c r="B119" s="199">
        <v>82.28247</v>
      </c>
      <c r="C119" s="199">
        <v>113625292000</v>
      </c>
      <c r="D119" s="199">
        <v>82282470000</v>
      </c>
      <c r="E119" s="199">
        <v>109.088149</v>
      </c>
      <c r="F119" s="199">
        <v>109088149000</v>
      </c>
    </row>
    <row ht="13.8" outlineLevel="0" r="120">
      <c r="A120" s="3">
        <v>43040</v>
      </c>
      <c r="B120" s="199">
        <v>90.914231</v>
      </c>
      <c r="C120" s="199">
        <v>113626492000</v>
      </c>
      <c r="D120" s="199">
        <v>90914231000</v>
      </c>
      <c r="E120" s="199">
        <v>109.088149</v>
      </c>
      <c r="F120" s="199">
        <v>109088149000</v>
      </c>
    </row>
    <row ht="13.8" outlineLevel="0" r="121">
      <c r="A121" s="3">
        <v>43070</v>
      </c>
      <c r="B121" s="199">
        <v>114.70061</v>
      </c>
      <c r="C121" s="199">
        <v>117336644000</v>
      </c>
      <c r="D121" s="199">
        <v>114700610000</v>
      </c>
      <c r="E121" s="199">
        <v>109.088149</v>
      </c>
      <c r="F121" s="199">
        <v>109088149000</v>
      </c>
    </row>
    <row ht="13.8" outlineLevel="0" r="122">
      <c r="A122" s="3">
        <v>43101</v>
      </c>
      <c r="B122" s="199">
        <v>5.650951</v>
      </c>
      <c r="C122" s="199">
        <v>119294155000</v>
      </c>
      <c r="D122" s="199">
        <v>5650951000</v>
      </c>
      <c r="E122" s="199">
        <v>112.360793053569</v>
      </c>
      <c r="F122" s="199">
        <v>112360793053.569</v>
      </c>
    </row>
    <row ht="13.8" outlineLevel="0" r="123">
      <c r="A123" s="3">
        <v>43132</v>
      </c>
      <c r="B123" s="199">
        <v>12.714097</v>
      </c>
      <c r="C123" s="199">
        <v>119294155000</v>
      </c>
      <c r="D123" s="199">
        <v>12714097000</v>
      </c>
      <c r="E123" s="199">
        <v>112.360793053569</v>
      </c>
      <c r="F123" s="199">
        <v>112360793053.569</v>
      </c>
    </row>
    <row ht="13.8" outlineLevel="0" r="124">
      <c r="A124" s="3">
        <v>43160</v>
      </c>
      <c r="B124" s="199">
        <v>20.853758</v>
      </c>
      <c r="C124" s="199">
        <v>119294155000</v>
      </c>
      <c r="D124" s="199">
        <v>20853758000</v>
      </c>
      <c r="E124" s="199">
        <v>112.360793053569</v>
      </c>
      <c r="F124" s="199">
        <v>112360793053.569</v>
      </c>
    </row>
    <row ht="13.8" outlineLevel="0" r="125">
      <c r="A125" s="3">
        <v>43191</v>
      </c>
      <c r="B125" s="199">
        <v>28.422375</v>
      </c>
      <c r="C125" s="199">
        <v>118362461000</v>
      </c>
      <c r="D125" s="199">
        <v>28422375000</v>
      </c>
      <c r="E125" s="199">
        <v>112.360793053569</v>
      </c>
      <c r="F125" s="199">
        <v>112360793053.569</v>
      </c>
    </row>
    <row ht="13.8" outlineLevel="0" r="126">
      <c r="A126" s="3">
        <v>43221</v>
      </c>
      <c r="B126" s="199">
        <v>37.31599</v>
      </c>
      <c r="C126" s="199">
        <v>119294155000</v>
      </c>
      <c r="D126" s="199">
        <v>37315990000</v>
      </c>
      <c r="E126" s="199">
        <v>112.360793053569</v>
      </c>
      <c r="F126" s="199">
        <v>112360793053.569</v>
      </c>
    </row>
    <row ht="13.8" outlineLevel="0" r="127">
      <c r="A127" s="3">
        <v>43252</v>
      </c>
      <c r="B127" s="199">
        <v>48.666943</v>
      </c>
      <c r="C127" s="199">
        <v>117471898000</v>
      </c>
      <c r="D127" s="199">
        <v>48666943000</v>
      </c>
      <c r="E127" s="199">
        <v>112.360793053569</v>
      </c>
      <c r="F127" s="199">
        <v>112360793053.569</v>
      </c>
    </row>
    <row ht="13.8" outlineLevel="0" r="128">
      <c r="A128" s="3">
        <v>43282</v>
      </c>
      <c r="B128" s="199">
        <v>57.745095</v>
      </c>
      <c r="C128" s="199">
        <v>117537191000</v>
      </c>
      <c r="D128" s="199">
        <v>57745095000</v>
      </c>
      <c r="E128" s="199">
        <v>112.360793053569</v>
      </c>
      <c r="F128" s="199">
        <v>112360793053.569</v>
      </c>
    </row>
    <row ht="13.8" outlineLevel="0" r="129">
      <c r="A129" s="3">
        <v>43313</v>
      </c>
      <c r="B129" s="199">
        <v>66.88975566959</v>
      </c>
      <c r="C129" s="199">
        <v>118105533000</v>
      </c>
      <c r="D129" s="199">
        <v>66889755669.59</v>
      </c>
      <c r="E129" s="199">
        <v>112.360793053569</v>
      </c>
      <c r="F129" s="199">
        <v>112360793053.569</v>
      </c>
    </row>
    <row ht="13.8" outlineLevel="0" r="130">
      <c r="A130" s="3">
        <v>43344</v>
      </c>
      <c r="B130" s="199">
        <v>75.460667</v>
      </c>
      <c r="C130" s="199">
        <v>118051034000</v>
      </c>
      <c r="D130" s="199">
        <v>75460667000</v>
      </c>
      <c r="E130" s="199">
        <v>112.360793053569</v>
      </c>
      <c r="F130" s="199">
        <v>112360793053.569</v>
      </c>
    </row>
    <row ht="13.8" outlineLevel="0" r="131">
      <c r="A131" s="3">
        <v>43374</v>
      </c>
      <c r="B131" s="199">
        <v>87.5078228380716</v>
      </c>
      <c r="C131" s="199">
        <v>117310025517</v>
      </c>
      <c r="D131" s="199">
        <v>87507822838.0716</v>
      </c>
      <c r="E131" s="199">
        <v>112.360793053569</v>
      </c>
      <c r="F131" s="199">
        <v>112360793053.569</v>
      </c>
    </row>
    <row ht="13.8" outlineLevel="0" r="132">
      <c r="A132" s="3">
        <v>43405</v>
      </c>
      <c r="B132" s="199">
        <v>97.211335233325</v>
      </c>
      <c r="C132" s="199">
        <v>118655384667</v>
      </c>
      <c r="D132" s="199">
        <v>97211335233.325</v>
      </c>
      <c r="E132" s="199">
        <v>112.360793053569</v>
      </c>
      <c r="F132" s="199">
        <v>112360793053.569</v>
      </c>
    </row>
    <row ht="13.8" outlineLevel="0" r="133">
      <c r="A133" s="3">
        <v>43435</v>
      </c>
      <c r="B133" s="199">
        <v>116.820887299374</v>
      </c>
      <c r="C133" s="199">
        <v>117704518436</v>
      </c>
      <c r="D133" s="199">
        <v>116820887299.374</v>
      </c>
      <c r="E133" s="199">
        <v>112.360793053569</v>
      </c>
      <c r="F133" s="199">
        <v>112360793053.569</v>
      </c>
    </row>
    <row ht="13.8" outlineLevel="0" r="134">
      <c r="A134" s="3">
        <v>43466</v>
      </c>
      <c r="B134" s="199">
        <v>5.44728985216</v>
      </c>
      <c r="C134" s="199">
        <v>120382341999</v>
      </c>
      <c r="D134" s="199">
        <v>5447289852.16</v>
      </c>
      <c r="E134" s="199">
        <v>117.293431868621</v>
      </c>
      <c r="F134" s="199">
        <v>117293431868.621</v>
      </c>
    </row>
    <row ht="13.8" outlineLevel="0" r="135">
      <c r="A135" s="3">
        <v>43497</v>
      </c>
      <c r="B135" s="199">
        <v>17.27202301109</v>
      </c>
      <c r="C135" s="199">
        <v>120382341999</v>
      </c>
      <c r="D135" s="199">
        <v>17272023011.09</v>
      </c>
      <c r="E135" s="199">
        <v>117.293431868621</v>
      </c>
      <c r="F135" s="199">
        <v>117293431868.621</v>
      </c>
    </row>
    <row ht="13.8" outlineLevel="0" r="136">
      <c r="A136" s="3">
        <v>43525</v>
      </c>
      <c r="B136" s="199">
        <v>20.97119504456</v>
      </c>
      <c r="C136" s="199">
        <v>120382341999</v>
      </c>
      <c r="D136" s="199">
        <v>20971195044.56</v>
      </c>
      <c r="E136" s="199">
        <v>117.293431868621</v>
      </c>
      <c r="F136" s="199">
        <v>117293431868.621</v>
      </c>
    </row>
    <row ht="13.8" outlineLevel="0" r="137">
      <c r="A137" s="3">
        <v>43556</v>
      </c>
      <c r="B137" s="199">
        <v>29.42681170525</v>
      </c>
      <c r="C137" s="199">
        <v>120750241696</v>
      </c>
      <c r="D137" s="199">
        <v>29426811705.25</v>
      </c>
      <c r="E137" s="199">
        <v>117.293431868621</v>
      </c>
      <c r="F137" s="199">
        <v>117293431868.621</v>
      </c>
    </row>
    <row ht="13.8" outlineLevel="0" r="138">
      <c r="A138" s="3">
        <v>43586</v>
      </c>
      <c r="B138" s="199">
        <v>38.34569506693</v>
      </c>
      <c r="C138" s="199">
        <v>120750241696</v>
      </c>
      <c r="D138" s="199">
        <v>38345695066.93</v>
      </c>
      <c r="E138" s="199">
        <v>117.293431868621</v>
      </c>
      <c r="F138" s="199">
        <v>117293431868.621</v>
      </c>
    </row>
    <row ht="13.8" outlineLevel="0" r="139">
      <c r="A139" s="3">
        <v>43617</v>
      </c>
      <c r="B139" s="199">
        <v>46.67269542753</v>
      </c>
      <c r="C139" s="199">
        <v>120750241696</v>
      </c>
      <c r="D139" s="199">
        <v>46672695427.53</v>
      </c>
      <c r="E139" s="199">
        <v>117.293431868621</v>
      </c>
      <c r="F139" s="199">
        <v>117293431868.621</v>
      </c>
    </row>
    <row ht="13.8" outlineLevel="0" r="140">
      <c r="A140" s="3">
        <v>43647</v>
      </c>
      <c r="B140" s="199">
        <v>58.41754420029</v>
      </c>
      <c r="C140" s="199">
        <v>120750241696</v>
      </c>
      <c r="D140" s="199">
        <v>58417544200.29</v>
      </c>
      <c r="E140" s="199">
        <v>117.293431868621</v>
      </c>
      <c r="F140" s="199">
        <v>117293431868.621</v>
      </c>
    </row>
    <row ht="13.8" outlineLevel="0" r="141">
      <c r="A141" s="3">
        <v>43678</v>
      </c>
      <c r="B141" s="199">
        <v>68.39831814705</v>
      </c>
      <c r="C141" s="199">
        <v>120746466512</v>
      </c>
      <c r="D141" s="199">
        <v>68398318147.05</v>
      </c>
      <c r="E141" s="199">
        <v>117.293431868621</v>
      </c>
      <c r="F141" s="199">
        <v>117293431868.621</v>
      </c>
    </row>
    <row ht="13.8" outlineLevel="0" r="142">
      <c r="A142" s="3">
        <v>43709</v>
      </c>
      <c r="B142" s="199">
        <v>77.9518532362</v>
      </c>
      <c r="C142" s="199">
        <v>120333322526</v>
      </c>
      <c r="D142" s="199">
        <v>77951853236.2</v>
      </c>
      <c r="E142" s="199">
        <v>117.293431868621</v>
      </c>
      <c r="F142" s="199">
        <v>117293431868.621</v>
      </c>
    </row>
    <row ht="13.8" outlineLevel="0" r="143">
      <c r="A143" s="3">
        <v>43739</v>
      </c>
      <c r="B143" s="199">
        <v>88.09261338636</v>
      </c>
      <c r="C143" s="199">
        <v>121504667855</v>
      </c>
      <c r="D143" s="199">
        <v>88092613386.36</v>
      </c>
      <c r="E143" s="199">
        <v>117.293431868621</v>
      </c>
      <c r="F143" s="199">
        <v>117293431868.621</v>
      </c>
    </row>
    <row ht="13.8" outlineLevel="0" r="144">
      <c r="A144" s="3">
        <v>43770</v>
      </c>
      <c r="B144" s="199">
        <v>96.62592636278</v>
      </c>
      <c r="C144" s="199">
        <v>121545609469</v>
      </c>
      <c r="D144" s="199">
        <v>96625926362.78</v>
      </c>
      <c r="E144" s="199">
        <v>117.293431868621</v>
      </c>
      <c r="F144" s="199">
        <v>117293431868.621</v>
      </c>
    </row>
    <row ht="13.8" outlineLevel="0" r="145">
      <c r="A145" s="3">
        <v>43800</v>
      </c>
      <c r="B145" s="199">
        <v>122.26991771798</v>
      </c>
      <c r="C145" s="199">
        <v>124777252992</v>
      </c>
      <c r="D145" s="199">
        <v>122269917717.98</v>
      </c>
      <c r="E145" s="199">
        <v>117.293431868621</v>
      </c>
      <c r="F145" s="199">
        <v>117293431868.621</v>
      </c>
    </row>
    <row ht="13.8" outlineLevel="0" r="146">
      <c r="A146" s="3">
        <v>43831</v>
      </c>
      <c r="B146" s="199">
        <v>5.00286575824</v>
      </c>
      <c r="C146" s="199">
        <v>125234358514</v>
      </c>
      <c r="D146" s="199">
        <v>5002865758.24</v>
      </c>
      <c r="E146" s="199">
        <v>121.246220522593</v>
      </c>
      <c r="F146" s="199">
        <v>121246220522.593</v>
      </c>
    </row>
    <row ht="13.8" outlineLevel="0" r="147">
      <c r="A147" s="3">
        <v>43862</v>
      </c>
      <c r="B147" s="199">
        <v>12.61222574166</v>
      </c>
      <c r="C147" s="199">
        <v>125234358514</v>
      </c>
      <c r="D147" s="199">
        <v>12612225741.66</v>
      </c>
      <c r="E147" s="199">
        <v>121.246220522593</v>
      </c>
      <c r="F147" s="199">
        <v>121246220522.593</v>
      </c>
    </row>
    <row ht="13.8" outlineLevel="0" r="148">
      <c r="A148" s="3">
        <v>43891</v>
      </c>
      <c r="B148" s="199">
        <v>26.09801525569</v>
      </c>
      <c r="C148" s="199">
        <v>125234358514</v>
      </c>
      <c r="D148" s="199">
        <v>26098015255.69</v>
      </c>
      <c r="E148" s="199">
        <v>121.246220522593</v>
      </c>
      <c r="F148" s="199">
        <v>121246220522.593</v>
      </c>
    </row>
    <row ht="13.8" outlineLevel="0" r="149">
      <c r="A149" s="3">
        <v>43922</v>
      </c>
      <c r="B149" s="199">
        <v>39.25823910723</v>
      </c>
      <c r="C149" s="199">
        <v>138508680641</v>
      </c>
      <c r="D149" s="199">
        <v>39258239107.23</v>
      </c>
      <c r="E149" s="199">
        <v>121.246220522593</v>
      </c>
      <c r="F149" s="199">
        <v>121246220522.593</v>
      </c>
    </row>
    <row ht="13.8" outlineLevel="0" r="150">
      <c r="A150" s="3">
        <v>43952</v>
      </c>
      <c r="B150" s="199">
        <v>52.27776254323</v>
      </c>
      <c r="C150" s="199">
        <v>154416667030</v>
      </c>
      <c r="D150" s="199">
        <v>52277762543.23</v>
      </c>
      <c r="E150" s="199">
        <v>121.246220522593</v>
      </c>
      <c r="F150" s="199">
        <v>121246220522.593</v>
      </c>
    </row>
    <row ht="13.8" outlineLevel="0" r="151">
      <c r="A151" s="3">
        <v>43983</v>
      </c>
      <c r="B151" s="199">
        <v>65.08240120327</v>
      </c>
      <c r="C151" s="199">
        <v>158856285068</v>
      </c>
      <c r="D151" s="199">
        <v>65082401203.27</v>
      </c>
      <c r="E151" s="199">
        <v>121.246220522593</v>
      </c>
      <c r="F151" s="199">
        <v>121246220522.593</v>
      </c>
    </row>
    <row ht="13.8" outlineLevel="0" r="152">
      <c r="A152" s="3">
        <v>44013</v>
      </c>
      <c r="B152" s="199">
        <v>80.84447117485</v>
      </c>
      <c r="C152" s="199">
        <v>159164748309</v>
      </c>
      <c r="D152" s="199">
        <v>80844471174.85</v>
      </c>
      <c r="E152" s="199">
        <v>121.246220522593</v>
      </c>
      <c r="F152" s="199">
        <v>121246220522.593</v>
      </c>
    </row>
    <row ht="13.8" outlineLevel="0" r="153">
      <c r="A153" s="3">
        <v>44044</v>
      </c>
      <c r="B153" s="199">
        <v>99.1316399669724</v>
      </c>
      <c r="C153" s="199">
        <v>161888055966</v>
      </c>
      <c r="D153" s="199">
        <v>99131639966.9724</v>
      </c>
      <c r="E153" s="199">
        <v>121.246220522593</v>
      </c>
      <c r="F153" s="199">
        <v>121246220522.593</v>
      </c>
    </row>
    <row ht="13.8" outlineLevel="0" r="154">
      <c r="A154" s="3">
        <v>44075</v>
      </c>
      <c r="B154" s="199">
        <v>112.44</v>
      </c>
      <c r="C154" s="199">
        <v>164351753924</v>
      </c>
      <c r="D154" s="199">
        <v>112435409561.87</v>
      </c>
      <c r="E154" s="199">
        <v>121.25</v>
      </c>
      <c r="F154" s="199">
        <v>121246220522.59</v>
      </c>
    </row>
    <row ht="13.8" outlineLevel="0" r="155">
      <c r="A155" s="3">
        <v>44105</v>
      </c>
      <c r="B155" s="199">
        <v>122.9</v>
      </c>
      <c r="C155" s="199">
        <v>164291765229</v>
      </c>
      <c r="D155" s="199">
        <v>122901898648.03</v>
      </c>
      <c r="E155" s="199">
        <v>121.25</v>
      </c>
      <c r="F155" s="199">
        <v>121246220522.59</v>
      </c>
    </row>
    <row ht="13.8" outlineLevel="0" r="156">
      <c r="A156" s="3">
        <v>44136</v>
      </c>
      <c r="B156" s="199">
        <v>133.41</v>
      </c>
      <c r="C156" s="199">
        <v>165082469870</v>
      </c>
      <c r="D156" s="199">
        <v>133412754385.09</v>
      </c>
      <c r="E156" s="199">
        <v>121.25</v>
      </c>
      <c r="F156" s="199">
        <v>121246220522.59</v>
      </c>
    </row>
    <row ht="13.8" outlineLevel="0" r="157">
      <c r="A157" s="3">
        <v>44166</v>
      </c>
      <c r="B157" s="199">
        <v>160.98510648866</v>
      </c>
      <c r="C157" s="199">
        <v>185070476652</v>
      </c>
      <c r="D157" s="199">
        <v>160985106488.66</v>
      </c>
      <c r="E157" s="199">
        <v>121.246220522593</v>
      </c>
      <c r="F157" s="199">
        <v>121246220522.593</v>
      </c>
    </row>
    <row ht="13.8" outlineLevel="0" r="158">
      <c r="A158" s="3">
        <v>44197</v>
      </c>
      <c r="B158" s="199">
        <v>5.67139235519</v>
      </c>
      <c r="C158" s="199">
        <v>138001100461</v>
      </c>
      <c r="D158" s="199">
        <v>5671392355.19</v>
      </c>
      <c r="E158" s="199">
        <v>123.828765019724</v>
      </c>
      <c r="F158" s="199">
        <v>123828765019.724</v>
      </c>
    </row>
    <row ht="13.8" outlineLevel="0" r="159">
      <c r="A159" s="3">
        <v>44228</v>
      </c>
      <c r="B159" s="199">
        <v>14.80905692603</v>
      </c>
      <c r="C159" s="199">
        <v>140862305461</v>
      </c>
      <c r="D159" s="199">
        <v>14809056926.03</v>
      </c>
      <c r="E159" s="199">
        <v>123.828765019724</v>
      </c>
      <c r="F159" s="199">
        <v>123828765019.724</v>
      </c>
    </row>
    <row ht="13.8" outlineLevel="0" r="160">
      <c r="A160" s="3">
        <v>44256</v>
      </c>
      <c r="B160" s="199">
        <v>32.024335575</v>
      </c>
      <c r="C160" s="199">
        <v>146186625603</v>
      </c>
      <c r="D160" s="199">
        <v>32024335575</v>
      </c>
      <c r="E160" s="199">
        <v>123.828765019724</v>
      </c>
      <c r="F160" s="199">
        <v>123828765019.724</v>
      </c>
    </row>
    <row ht="13.8" outlineLevel="0" r="161">
      <c r="A161" s="3">
        <v>44287</v>
      </c>
      <c r="B161" s="199">
        <v>39.9147854752759</v>
      </c>
      <c r="C161" s="199">
        <v>163651289670</v>
      </c>
      <c r="D161" s="199">
        <v>39914785475.2759</v>
      </c>
      <c r="E161" s="199">
        <v>123.828765019724</v>
      </c>
      <c r="F161" s="199">
        <v>123828765019.724</v>
      </c>
    </row>
    <row ht="13.8" outlineLevel="0" r="162">
      <c r="A162" s="3">
        <v>44317</v>
      </c>
      <c r="B162" s="199">
        <v>55.8577979505621</v>
      </c>
      <c r="C162" s="199">
        <v>169151361574</v>
      </c>
      <c r="D162" s="199">
        <v>55857797950.5621</v>
      </c>
      <c r="E162" s="199">
        <v>123.828765019724</v>
      </c>
      <c r="F162" s="199">
        <v>123828765019.724</v>
      </c>
    </row>
    <row ht="13.8" outlineLevel="0" r="163">
      <c r="A163" s="3">
        <v>44348</v>
      </c>
      <c r="B163" s="199">
        <v>64.8341312772522</v>
      </c>
      <c r="C163" s="199">
        <v>168739660564</v>
      </c>
      <c r="D163" s="199">
        <v>64834131277.2522</v>
      </c>
      <c r="E163" s="199">
        <v>123.828765019724</v>
      </c>
      <c r="F163" s="199">
        <v>123828765019.724</v>
      </c>
    </row>
    <row ht="13.8" outlineLevel="0" r="164">
      <c r="A164" s="3">
        <v>44378</v>
      </c>
      <c r="B164" s="199">
        <v>82.9369480822828</v>
      </c>
      <c r="C164" s="199">
        <v>168881124564</v>
      </c>
      <c r="D164" s="199">
        <v>82936948082.2828</v>
      </c>
      <c r="E164" s="199">
        <v>123.828765019724</v>
      </c>
      <c r="F164" s="199">
        <v>123828765019.724</v>
      </c>
    </row>
    <row ht="13.8" outlineLevel="0" r="165">
      <c r="A165" s="3">
        <v>44409</v>
      </c>
      <c r="B165" s="199">
        <v>100.628822286618</v>
      </c>
      <c r="C165" s="199">
        <v>177984210826</v>
      </c>
      <c r="D165" s="199">
        <v>100628822286.618</v>
      </c>
      <c r="E165" s="199">
        <v>123.828765019724</v>
      </c>
      <c r="F165" s="199">
        <v>123828765019.724</v>
      </c>
    </row>
    <row ht="13.8" outlineLevel="0" r="166">
      <c r="A166" s="3">
        <v>44440</v>
      </c>
      <c r="B166" s="199">
        <v>112.163376384168</v>
      </c>
      <c r="C166" s="199">
        <v>177984210826</v>
      </c>
      <c r="D166" s="199">
        <v>112163376384.168</v>
      </c>
      <c r="E166" s="199">
        <v>123.828765019724</v>
      </c>
      <c r="F166" s="199">
        <v>123828765019.724</v>
      </c>
    </row>
  </sheetData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00B050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3"/>
  <cols>
    <col min="1" max="1" width="34.83" style="291" customWidth="1"/>
    <col min="2" max="2" width="17.14" style="292" customWidth="1"/>
    <col min="3" max="3" width="16.33" style="292" customWidth="1"/>
    <col min="4" max="10" width="15.8" style="292" customWidth="1"/>
    <col min="11" max="11" width="8.37" style="292" customWidth="1"/>
    <col min="12" max="12" width="21.6" style="292" customWidth="1"/>
    <col min="13" max="1025" width="8.37" style="292" customWidth="1"/>
  </cols>
  <sheetData>
    <row ht="13.8" outlineLevel="0" r="2">
      <c r="C2" s="293" t="s">
        <v>657</v>
      </c>
      <c r="D2" s="293"/>
      <c r="E2" s="293"/>
      <c r="F2" s="293"/>
      <c r="G2" s="293" t="s">
        <v>658</v>
      </c>
      <c r="H2" s="293"/>
      <c r="I2" s="293"/>
      <c r="J2" s="293"/>
    </row>
    <row ht="13.8" outlineLevel="0" r="3">
      <c r="A3" s="294"/>
      <c r="C3" s="295" t="s">
        <v>659</v>
      </c>
      <c r="D3" s="296" t="s">
        <v>660</v>
      </c>
      <c r="E3" s="297" t="s">
        <v>661</v>
      </c>
      <c r="F3" s="298" t="s">
        <v>662</v>
      </c>
      <c r="G3" s="299" t="s">
        <v>659</v>
      </c>
      <c r="H3" s="296" t="s">
        <v>660</v>
      </c>
      <c r="I3" s="297" t="s">
        <v>661</v>
      </c>
      <c r="J3" s="298" t="s">
        <v>662</v>
      </c>
    </row>
    <row ht="13.8" outlineLevel="0" r="4">
      <c r="A4" s="300" t="s">
        <v>662</v>
      </c>
      <c r="C4" s="301">
        <f>+SUM(C5:C10)</f>
        <v>1103.52215622307</v>
      </c>
      <c r="D4" s="302">
        <f>+SUM(D5:D10)</f>
        <v>63488.921352554</v>
      </c>
      <c r="E4" s="303">
        <f>+SUM(E5:E10)</f>
        <v>9400.9170534642</v>
      </c>
      <c r="F4" s="304">
        <f>+SUM(F5:F10)</f>
        <v>73993.3605622413</v>
      </c>
      <c r="G4" s="305">
        <f>+SUM(G5:G10)</f>
        <v>24668.2402545506</v>
      </c>
      <c r="H4" s="302">
        <f>+SUM(H5:H10)</f>
        <v>63398.0139142559</v>
      </c>
      <c r="I4" s="303">
        <f>+SUM(I5:I10)</f>
        <v>65694.3918577384</v>
      </c>
      <c r="J4" s="304">
        <f>+SUM(J5:J10)</f>
        <v>153760.646026545</v>
      </c>
    </row>
    <row ht="13.8" outlineLevel="0" r="5">
      <c r="A5" s="300" t="s">
        <v>663</v>
      </c>
      <c r="C5" s="306">
        <f>+Conferência_RP!C9/1000000</f>
        <v>74.2274838</v>
      </c>
      <c r="D5" s="306">
        <f>+Conferência_RP!D9/1000000</f>
        <v>16951.51821073</v>
      </c>
      <c r="E5" s="306">
        <f>+Conferência_RP!E9/1000000</f>
        <v>119.660112881</v>
      </c>
      <c r="F5" s="307">
        <f>SUM(C5:E5)</f>
        <v>17145.405807411</v>
      </c>
      <c r="G5" s="308">
        <f>+Conferência_RP!F9/1000000</f>
        <v>376.68930643</v>
      </c>
      <c r="H5" s="308">
        <f>+Conferência_RP!G9/1000000</f>
        <v>344.66574956</v>
      </c>
      <c r="I5" s="308">
        <f>+Conferência_RP!H9/1000000</f>
        <v>652.71838847</v>
      </c>
      <c r="J5" s="307">
        <f>SUM(G5:I5)</f>
        <v>1374.07344446</v>
      </c>
    </row>
    <row ht="13.8" outlineLevel="0" r="6">
      <c r="A6" s="300" t="s">
        <v>664</v>
      </c>
      <c r="C6" s="306">
        <f>+Conferência_RP!C10/1000000</f>
        <v>0</v>
      </c>
      <c r="D6" s="306">
        <f>+Conferência_RP!D10/1000000</f>
        <v>0.06863518</v>
      </c>
      <c r="E6" s="306">
        <f>+Conferência_RP!E10/1000000</f>
        <v>0.77810146</v>
      </c>
      <c r="F6" s="307">
        <f>SUM(C6:E6)</f>
        <v>0.84673664</v>
      </c>
      <c r="G6" s="308">
        <f>+Conferência_RP!F10/1000000</f>
        <v>0</v>
      </c>
      <c r="H6" s="308">
        <f>+Conferência_RP!G10/1000000</f>
        <v>0.64910701</v>
      </c>
      <c r="I6" s="308">
        <f>+Conferência_RP!H10/1000000</f>
        <v>325.72799032</v>
      </c>
      <c r="J6" s="307">
        <f>SUM(G6:I6)</f>
        <v>326.37709733</v>
      </c>
    </row>
    <row ht="15" customHeight="1" outlineLevel="0" r="7">
      <c r="A7" s="300" t="s">
        <v>665</v>
      </c>
      <c r="C7" s="306">
        <f>+Conferência_RP!C11/1000000</f>
        <v>26.3068504230743</v>
      </c>
      <c r="D7" s="306">
        <f>+Conferência_RP!D11/1000000</f>
        <v>44804.1022951261</v>
      </c>
      <c r="E7" s="306">
        <f>+Conferência_RP!E11/1000000</f>
        <v>1178.5595404291</v>
      </c>
      <c r="F7" s="307">
        <f>SUM(C7:E7)</f>
        <v>46008.9686859783</v>
      </c>
      <c r="G7" s="308">
        <f>+Conferência_RP!F11/1000000</f>
        <v>22940.0583006229</v>
      </c>
      <c r="H7" s="308">
        <f>+Conferência_RP!G11/1000000</f>
        <v>46821.6715939188</v>
      </c>
      <c r="I7" s="308">
        <f>+Conferência_RP!H11/1000000</f>
        <v>20000.6468063317</v>
      </c>
      <c r="J7" s="307">
        <f>SUM(G7:I7)</f>
        <v>89762.3767008734</v>
      </c>
    </row>
    <row ht="13.8" outlineLevel="0" r="8">
      <c r="A8" s="300" t="s">
        <v>32</v>
      </c>
      <c r="C8" s="306">
        <f>+Conferência_RP!C12/1000000</f>
        <v>645.72023797</v>
      </c>
      <c r="D8" s="306">
        <f>+Conferência_RP!D12/1000000</f>
        <v>1142.87293351789</v>
      </c>
      <c r="E8" s="306">
        <f>+Conferência_RP!E12/1000000</f>
        <v>5481.4284862441</v>
      </c>
      <c r="F8" s="307">
        <f>SUM(C8:E8)</f>
        <v>7270.02165773199</v>
      </c>
      <c r="G8" s="308">
        <f>+Conferência_RP!F12/1000000</f>
        <v>655.468666712738</v>
      </c>
      <c r="H8" s="308">
        <f>+Conferência_RP!G12/1000000</f>
        <v>11526.9266415071</v>
      </c>
      <c r="I8" s="308">
        <f>+Conferência_RP!H12/1000000</f>
        <v>34656.1709949067</v>
      </c>
      <c r="J8" s="307">
        <f>SUM(G8:I8)</f>
        <v>46838.5663031265</v>
      </c>
    </row>
    <row ht="13.8" outlineLevel="0" r="9">
      <c r="A9" s="300" t="s">
        <v>35</v>
      </c>
      <c r="C9" s="306">
        <f>+Conferência_RP!C13/1000000</f>
        <v>357.26758403</v>
      </c>
      <c r="D9" s="306">
        <f>+Conferência_RP!D13/1000000</f>
        <v>587.20991577</v>
      </c>
      <c r="E9" s="306">
        <f>+Conferência_RP!E13/1000000</f>
        <v>2620.49081245</v>
      </c>
      <c r="F9" s="307">
        <f>SUM(C9:E9)</f>
        <v>3564.96831225</v>
      </c>
      <c r="G9" s="308">
        <f>+Conferência_RP!F13/1000000</f>
        <v>669.499496755</v>
      </c>
      <c r="H9" s="308">
        <f>+Conferência_RP!G13/1000000</f>
        <v>3559.31173248</v>
      </c>
      <c r="I9" s="308">
        <f>+Conferência_RP!H13/1000000</f>
        <v>10003.41885522</v>
      </c>
      <c r="J9" s="307">
        <f>SUM(G9:I9)</f>
        <v>14232.230084455</v>
      </c>
    </row>
    <row ht="13.8" outlineLevel="0" r="10">
      <c r="A10" s="300" t="s">
        <v>666</v>
      </c>
      <c r="C10" s="306">
        <f>+Conferência_RP!C14/1000000</f>
        <v>0</v>
      </c>
      <c r="D10" s="306">
        <f>+Conferência_RP!D14/1000000</f>
        <v>3.14936223</v>
      </c>
      <c r="E10" s="306">
        <f>+Conferência_RP!E14/1000000</f>
        <v>0</v>
      </c>
      <c r="F10" s="309">
        <f>SUM(C10:E10)</f>
        <v>3.14936223</v>
      </c>
      <c r="G10" s="308">
        <f>+Conferência_RP!F14/1000000</f>
        <v>26.52448403</v>
      </c>
      <c r="H10" s="308">
        <f>+Conferência_RP!G14/1000000</f>
        <v>1144.78908978</v>
      </c>
      <c r="I10" s="308">
        <f>+Conferência_RP!H14/1000000</f>
        <v>55.70882249</v>
      </c>
      <c r="J10" s="309">
        <f>SUM(G10:I10)</f>
        <v>1227.0223963</v>
      </c>
    </row>
    <row ht="13.8" outlineLevel="0" r="11">
      <c r="A11" s="300" t="s">
        <v>662</v>
      </c>
      <c r="C11" s="310"/>
      <c r="D11" s="311"/>
      <c r="E11" s="311"/>
      <c r="F11" s="312"/>
      <c r="G11" s="311"/>
      <c r="H11" s="311"/>
      <c r="I11" s="311"/>
      <c r="J11" s="312"/>
    </row>
    <row ht="13.8" outlineLevel="0" r="12">
      <c r="A12" s="300" t="s">
        <v>663</v>
      </c>
      <c r="C12" s="313"/>
      <c r="D12" s="314"/>
      <c r="E12" s="314"/>
      <c r="F12" s="315"/>
      <c r="G12" s="314"/>
      <c r="H12" s="314"/>
      <c r="I12" s="314"/>
      <c r="J12" s="315"/>
    </row>
    <row ht="13.8" outlineLevel="0" r="13">
      <c r="A13" s="316" t="s">
        <v>664</v>
      </c>
      <c r="C13" s="317"/>
      <c r="D13" s="318"/>
      <c r="E13" s="318"/>
      <c r="F13" s="319">
        <f>SUM(F5:F10)</f>
        <v>73993.3605622413</v>
      </c>
      <c r="G13" s="318"/>
      <c r="H13" s="318"/>
      <c r="I13" s="318"/>
      <c r="J13" s="319">
        <f>SUM(J5:J10)</f>
        <v>153760.646026545</v>
      </c>
    </row>
    <row ht="13.8" outlineLevel="0" r="14">
      <c r="A14" s="316" t="s">
        <v>665</v>
      </c>
    </row>
    <row ht="13.8" outlineLevel="0" r="15">
      <c r="A15" s="316" t="s">
        <v>32</v>
      </c>
    </row>
    <row ht="13.8" outlineLevel="0" r="16">
      <c r="A16" s="316" t="s">
        <v>35</v>
      </c>
    </row>
    <row ht="15" customHeight="1" outlineLevel="0" r="17">
      <c r="A17" s="316" t="s">
        <v>666</v>
      </c>
    </row>
    <row ht="13.8" outlineLevel="0" r="22">
      <c r="C22" s="320" t="s">
        <v>667</v>
      </c>
      <c r="D22" s="320"/>
      <c r="E22" s="320"/>
      <c r="F22" s="320"/>
      <c r="G22" s="320"/>
      <c r="H22" s="320"/>
      <c r="I22" s="320"/>
      <c r="J22" s="320"/>
    </row>
    <row ht="28.35" outlineLevel="0" r="23">
      <c r="C23" s="321"/>
      <c r="D23" s="322" t="s">
        <v>663</v>
      </c>
      <c r="E23" s="322" t="s">
        <v>664</v>
      </c>
      <c r="F23" s="322" t="s">
        <v>665</v>
      </c>
      <c r="G23" s="322" t="s">
        <v>32</v>
      </c>
      <c r="H23" s="322" t="s">
        <v>35</v>
      </c>
      <c r="I23" s="322" t="s">
        <v>666</v>
      </c>
      <c r="J23" s="322" t="s">
        <v>662</v>
      </c>
    </row>
    <row ht="15" outlineLevel="0" r="24">
      <c r="C24" s="323" t="s">
        <v>668</v>
      </c>
      <c r="D24" s="324">
        <f>C5</f>
        <v>74.2274838</v>
      </c>
      <c r="E24" s="324">
        <f>C6</f>
        <v>0</v>
      </c>
      <c r="F24" s="324">
        <f>C7</f>
        <v>26.3068504230743</v>
      </c>
      <c r="G24" s="324">
        <f>C8</f>
        <v>645.72023797</v>
      </c>
      <c r="H24" s="324">
        <f>C9</f>
        <v>357.26758403</v>
      </c>
      <c r="I24" s="324">
        <f>C10</f>
        <v>0</v>
      </c>
      <c r="J24" s="324">
        <f>SUM(D24:I24)</f>
        <v>1103.52215622307</v>
      </c>
    </row>
    <row ht="15" outlineLevel="0" r="25">
      <c r="C25" s="323" t="s">
        <v>669</v>
      </c>
      <c r="D25" s="324">
        <f>D5</f>
        <v>16951.51821073</v>
      </c>
      <c r="E25" s="324">
        <f>D6</f>
        <v>0.06863518</v>
      </c>
      <c r="F25" s="324">
        <f>D7</f>
        <v>44804.1022951261</v>
      </c>
      <c r="G25" s="324">
        <f>D8</f>
        <v>1142.87293351789</v>
      </c>
      <c r="H25" s="324">
        <f>D9</f>
        <v>587.20991577</v>
      </c>
      <c r="I25" s="324">
        <f>D10</f>
        <v>3.14936223</v>
      </c>
      <c r="J25" s="324">
        <f>SUM(D25:I25)</f>
        <v>63488.921352554</v>
      </c>
    </row>
    <row ht="15" outlineLevel="0" r="26">
      <c r="C26" s="325" t="s">
        <v>670</v>
      </c>
      <c r="D26" s="326">
        <f>E5</f>
        <v>119.660112881</v>
      </c>
      <c r="E26" s="326">
        <f>E6</f>
        <v>0.77810146</v>
      </c>
      <c r="F26" s="326">
        <f>E7</f>
        <v>1178.5595404291</v>
      </c>
      <c r="G26" s="326">
        <f>E8</f>
        <v>5481.4284862441</v>
      </c>
      <c r="H26" s="326">
        <f>E9</f>
        <v>2620.49081245</v>
      </c>
      <c r="I26" s="326">
        <f>E10</f>
        <v>0</v>
      </c>
      <c r="J26" s="326">
        <f>SUM(D26:I26)</f>
        <v>9400.9170534642</v>
      </c>
    </row>
    <row ht="15" outlineLevel="0" r="27">
      <c r="C27" s="325" t="s">
        <v>671</v>
      </c>
      <c r="D27" s="326">
        <f>SUM(D24:D26)</f>
        <v>17145.405807411</v>
      </c>
      <c r="E27" s="326">
        <f>SUM(E24:E26)</f>
        <v>0.84673664</v>
      </c>
      <c r="F27" s="326">
        <f>SUM(F24:F26)</f>
        <v>46008.9686859783</v>
      </c>
      <c r="G27" s="326">
        <f>SUM(G24:G26)</f>
        <v>7270.02165773199</v>
      </c>
      <c r="H27" s="326">
        <f>SUM(H24:H26)</f>
        <v>3564.96831225</v>
      </c>
      <c r="I27" s="326">
        <f>SUM(I24:I26)</f>
        <v>3.14936223</v>
      </c>
      <c r="J27" s="326">
        <f>SUM(J24:J26)</f>
        <v>73993.3605622412</v>
      </c>
    </row>
    <row ht="13.8" outlineLevel="0" r="31">
      <c r="C31" s="320" t="s">
        <v>672</v>
      </c>
      <c r="D31" s="320"/>
      <c r="E31" s="320"/>
      <c r="F31" s="320"/>
      <c r="G31" s="320"/>
      <c r="H31" s="320"/>
      <c r="I31" s="320"/>
      <c r="J31" s="320"/>
    </row>
    <row ht="28.35" outlineLevel="0" r="32">
      <c r="C32" s="321"/>
      <c r="D32" s="322" t="s">
        <v>663</v>
      </c>
      <c r="E32" s="322" t="s">
        <v>664</v>
      </c>
      <c r="F32" s="322" t="s">
        <v>665</v>
      </c>
      <c r="G32" s="322" t="s">
        <v>32</v>
      </c>
      <c r="H32" s="322" t="s">
        <v>35</v>
      </c>
      <c r="I32" s="322" t="s">
        <v>666</v>
      </c>
      <c r="J32" s="322" t="s">
        <v>662</v>
      </c>
    </row>
    <row ht="15" outlineLevel="0" r="33">
      <c r="C33" s="327" t="s">
        <v>668</v>
      </c>
      <c r="D33" s="328">
        <f>G5</f>
        <v>376.68930643</v>
      </c>
      <c r="E33" s="328">
        <f>G6</f>
        <v>0</v>
      </c>
      <c r="F33" s="328">
        <f>G7</f>
        <v>22940.0583006229</v>
      </c>
      <c r="G33" s="328">
        <f>G8</f>
        <v>655.468666712738</v>
      </c>
      <c r="H33" s="328">
        <f>G9</f>
        <v>669.499496755</v>
      </c>
      <c r="I33" s="328">
        <f>G10</f>
        <v>26.52448403</v>
      </c>
      <c r="J33" s="328">
        <f>SUM(D33:I33)</f>
        <v>24668.2402545506</v>
      </c>
    </row>
    <row ht="15" outlineLevel="0" r="34">
      <c r="C34" s="327" t="s">
        <v>669</v>
      </c>
      <c r="D34" s="328">
        <f>H5</f>
        <v>344.66574956</v>
      </c>
      <c r="E34" s="328">
        <f>H6</f>
        <v>0.64910701</v>
      </c>
      <c r="F34" s="328">
        <f>H7</f>
        <v>46821.6715939188</v>
      </c>
      <c r="G34" s="328">
        <f>H8</f>
        <v>11526.9266415071</v>
      </c>
      <c r="H34" s="328">
        <f>H9</f>
        <v>3559.31173248</v>
      </c>
      <c r="I34" s="328">
        <f>H10</f>
        <v>1144.78908978</v>
      </c>
      <c r="J34" s="328">
        <f>SUM(D34:I34)</f>
        <v>63398.0139142559</v>
      </c>
    </row>
    <row ht="15" outlineLevel="0" r="35">
      <c r="C35" s="329" t="s">
        <v>670</v>
      </c>
      <c r="D35" s="330">
        <f>I5</f>
        <v>652.71838847</v>
      </c>
      <c r="E35" s="330">
        <f>I6</f>
        <v>325.72799032</v>
      </c>
      <c r="F35" s="330">
        <f>I7</f>
        <v>20000.6468063317</v>
      </c>
      <c r="G35" s="330">
        <f>I8</f>
        <v>34656.1709949067</v>
      </c>
      <c r="H35" s="330">
        <f>I9</f>
        <v>10003.41885522</v>
      </c>
      <c r="I35" s="330">
        <f>I10</f>
        <v>55.70882249</v>
      </c>
      <c r="J35" s="330">
        <f>SUM(D35:I35)</f>
        <v>65694.3918577384</v>
      </c>
    </row>
    <row ht="15" outlineLevel="0" r="36">
      <c r="C36" s="329" t="s">
        <v>671</v>
      </c>
      <c r="D36" s="330">
        <f>SUM(D33:D35)</f>
        <v>1374.07344446</v>
      </c>
      <c r="E36" s="330">
        <f>SUM(E33:E35)</f>
        <v>326.37709733</v>
      </c>
      <c r="F36" s="330">
        <f>SUM(F33:F35)</f>
        <v>89762.3767008734</v>
      </c>
      <c r="G36" s="330">
        <f>SUM(G33:G35)</f>
        <v>46838.5663031265</v>
      </c>
      <c r="H36" s="330">
        <f>SUM(H33:H35)</f>
        <v>14232.230084455</v>
      </c>
      <c r="I36" s="330">
        <f>SUM(I33:I35)</f>
        <v>1227.0223963</v>
      </c>
      <c r="J36" s="330">
        <f>SUM(J33:J35)</f>
        <v>153760.646026545</v>
      </c>
    </row>
    <row ht="13.8" outlineLevel="0" r="40">
      <c r="C40" s="331"/>
    </row>
    <row ht="13.8" outlineLevel="0" r="41">
      <c r="C41" s="331"/>
    </row>
  </sheetData>
  <mergeCells count="4">
    <mergeCell ref="C2:F2"/>
    <mergeCell ref="G2:J2"/>
    <mergeCell ref="C22:J22"/>
    <mergeCell ref="C31:J31"/>
  </mergeCells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FFC000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3"/>
  <cols>
    <col min="1" max="1" width="13.5" style="1" customWidth="1"/>
    <col min="2" max="2" width="56.16" style="1" customWidth="1"/>
    <col min="3" max="8" width="26.32" style="1" customWidth="1"/>
    <col min="9" max="1025" width="8.64" style="1" customWidth="1"/>
  </cols>
  <sheetData>
    <row ht="15" customHeight="1" outlineLevel="0" r="1">
      <c r="A1" s="332" t="s">
        <v>673</v>
      </c>
    </row>
    <row ht="15" customHeight="1" outlineLevel="0" r="2"/>
    <row ht="15" customHeight="1" outlineLevel="0" r="3">
      <c r="A3" s="333" t="s">
        <v>508</v>
      </c>
    </row>
    <row ht="15" customHeight="1" outlineLevel="0" r="4">
      <c r="A4" s="333" t="s">
        <v>674</v>
      </c>
    </row>
    <row ht="15" customHeight="1" outlineLevel="0" r="5"/>
    <row ht="15" customHeight="1" outlineLevel="0" r="6">
      <c r="A6" s="334" t="s">
        <v>675</v>
      </c>
      <c r="B6" s="334"/>
      <c r="C6" s="335" t="s">
        <v>280</v>
      </c>
      <c r="D6" s="335" t="s">
        <v>283</v>
      </c>
      <c r="E6" s="335" t="s">
        <v>286</v>
      </c>
      <c r="F6" s="335" t="s">
        <v>289</v>
      </c>
      <c r="G6" s="335" t="s">
        <v>292</v>
      </c>
      <c r="H6" s="335" t="s">
        <v>295</v>
      </c>
    </row>
    <row ht="15" customHeight="1" outlineLevel="0" r="7">
      <c r="A7" s="334"/>
      <c r="B7" s="334"/>
      <c r="C7" s="335" t="s">
        <v>281</v>
      </c>
      <c r="D7" s="335" t="s">
        <v>284</v>
      </c>
      <c r="E7" s="335" t="s">
        <v>287</v>
      </c>
      <c r="F7" s="335" t="s">
        <v>290</v>
      </c>
      <c r="G7" s="335" t="s">
        <v>293</v>
      </c>
      <c r="H7" s="335" t="s">
        <v>296</v>
      </c>
    </row>
    <row ht="15" customHeight="1" outlineLevel="0" r="8">
      <c r="A8" s="336" t="s">
        <v>676</v>
      </c>
      <c r="B8" s="336"/>
      <c r="C8" s="335" t="s">
        <v>677</v>
      </c>
      <c r="D8" s="335" t="s">
        <v>677</v>
      </c>
      <c r="E8" s="335" t="s">
        <v>677</v>
      </c>
      <c r="F8" s="335" t="s">
        <v>677</v>
      </c>
      <c r="G8" s="335" t="s">
        <v>677</v>
      </c>
      <c r="H8" s="335" t="s">
        <v>677</v>
      </c>
    </row>
    <row ht="15" customHeight="1" outlineLevel="0" r="9">
      <c r="A9" s="337" t="s">
        <v>27</v>
      </c>
      <c r="B9" s="337" t="s">
        <v>28</v>
      </c>
      <c r="C9" s="338">
        <v>74227483.8</v>
      </c>
      <c r="D9" s="338">
        <v>16951518210.73</v>
      </c>
      <c r="E9" s="338">
        <v>119660112.881</v>
      </c>
      <c r="F9" s="338">
        <v>376689306.43</v>
      </c>
      <c r="G9" s="338">
        <v>344665749.56</v>
      </c>
      <c r="H9" s="338">
        <v>652718388.47</v>
      </c>
    </row>
    <row ht="15" customHeight="1" outlineLevel="0" r="10">
      <c r="A10" s="339" t="s">
        <v>30</v>
      </c>
      <c r="B10" s="339" t="s">
        <v>31</v>
      </c>
      <c r="C10" s="340"/>
      <c r="D10" s="340">
        <v>68635.18</v>
      </c>
      <c r="E10" s="340">
        <v>778101.46</v>
      </c>
      <c r="F10" s="340"/>
      <c r="G10" s="340">
        <v>649107.01</v>
      </c>
      <c r="H10" s="340">
        <v>325727990.32</v>
      </c>
    </row>
    <row ht="15" customHeight="1" outlineLevel="0" r="11">
      <c r="A11" s="337" t="s">
        <v>8</v>
      </c>
      <c r="B11" s="337" t="s">
        <v>9</v>
      </c>
      <c r="C11" s="338">
        <v>26306850.4230743</v>
      </c>
      <c r="D11" s="338">
        <v>44804102295.1261</v>
      </c>
      <c r="E11" s="338">
        <v>1178559540.4291</v>
      </c>
      <c r="F11" s="338">
        <v>22940058300.6229</v>
      </c>
      <c r="G11" s="338">
        <v>46821671593.9188</v>
      </c>
      <c r="H11" s="338">
        <v>20000646806.3317</v>
      </c>
    </row>
    <row ht="15" customHeight="1" outlineLevel="0" r="12">
      <c r="A12" s="339" t="s">
        <v>33</v>
      </c>
      <c r="B12" s="339" t="s">
        <v>34</v>
      </c>
      <c r="C12" s="340">
        <v>645720237.97</v>
      </c>
      <c r="D12" s="340">
        <v>1142872933.51789</v>
      </c>
      <c r="E12" s="340">
        <v>5481428486.2441</v>
      </c>
      <c r="F12" s="340">
        <v>655468666.712738</v>
      </c>
      <c r="G12" s="340">
        <v>11526926641.5071</v>
      </c>
      <c r="H12" s="340">
        <v>34656170994.9067</v>
      </c>
    </row>
    <row ht="15" customHeight="1" outlineLevel="0" r="13">
      <c r="A13" s="337" t="s">
        <v>36</v>
      </c>
      <c r="B13" s="337" t="s">
        <v>37</v>
      </c>
      <c r="C13" s="338">
        <v>357267584.03</v>
      </c>
      <c r="D13" s="338">
        <v>587209915.77</v>
      </c>
      <c r="E13" s="338">
        <v>2620490812.45</v>
      </c>
      <c r="F13" s="338">
        <v>669499496.755</v>
      </c>
      <c r="G13" s="338">
        <v>3559311732.48</v>
      </c>
      <c r="H13" s="338">
        <v>10003418855.22</v>
      </c>
    </row>
    <row ht="15" customHeight="1" outlineLevel="0" r="14">
      <c r="A14" s="339" t="s">
        <v>23</v>
      </c>
      <c r="B14" s="339" t="s">
        <v>24</v>
      </c>
      <c r="C14" s="340"/>
      <c r="D14" s="340">
        <v>3149362.23</v>
      </c>
      <c r="E14" s="340">
        <v>0</v>
      </c>
      <c r="F14" s="340">
        <v>26524484.03</v>
      </c>
      <c r="G14" s="340">
        <v>1144789089.78</v>
      </c>
      <c r="H14" s="340">
        <v>55708822.49</v>
      </c>
    </row>
    <row ht="15" customHeight="1" outlineLevel="0" r="15">
      <c r="A15" s="341" t="s">
        <v>678</v>
      </c>
      <c r="B15" s="341"/>
      <c r="C15" s="341"/>
      <c r="D15" s="341"/>
      <c r="E15" s="341"/>
      <c r="F15" s="341"/>
      <c r="G15" s="341"/>
      <c r="H15" s="341"/>
    </row>
  </sheetData>
  <mergeCells count="3">
    <mergeCell ref="A6:B7"/>
    <mergeCell ref="A8:B8"/>
    <mergeCell ref="A15:H15"/>
  </mergeCells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00B050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5"/>
  <cols>
    <col min="1" max="1" width="53.72" style="342" customWidth="1"/>
    <col min="2" max="3" width="21.87" style="342" customWidth="1"/>
    <col min="4" max="4" width="32.27" style="342" customWidth="1"/>
    <col min="5" max="9" width="22.95" style="342" customWidth="1"/>
    <col min="10" max="10" width="2.84" style="342" customWidth="1"/>
    <col min="11" max="11" width="2.03" style="342" customWidth="1"/>
    <col min="12" max="12" width="12.29" style="343" customWidth="1"/>
    <col min="13" max="13" width="51.84" style="344" customWidth="1"/>
    <col min="14" max="15" width="8.91" style="344" hidden="1" customWidth="1"/>
    <col min="16" max="16" width="8.78" style="344" hidden="1" customWidth="1"/>
    <col min="17" max="17" width="8.91" style="344" hidden="1" customWidth="1"/>
    <col min="18" max="18" width="8.37" style="344" hidden="1" customWidth="1"/>
    <col min="19" max="19" width="9.45" style="344" hidden="1" customWidth="1"/>
    <col min="20" max="20" width="8.37" style="344" hidden="1" customWidth="1"/>
    <col min="21" max="21" width="8.78" style="344" hidden="1" customWidth="1"/>
    <col min="22" max="22" width="9.18" style="344" hidden="1" customWidth="1"/>
    <col min="23" max="23" width="8.91" style="344" hidden="1" customWidth="1"/>
    <col min="24" max="25" width="8.78" style="342" hidden="1" customWidth="1"/>
    <col min="26" max="27" width="8.91" style="342" hidden="1" customWidth="1"/>
    <col min="28" max="28" width="8.78" style="342" hidden="1" customWidth="1"/>
    <col min="29" max="29" width="8.91" style="342" hidden="1" customWidth="1"/>
    <col min="30" max="30" width="8.37" style="342" hidden="1" customWidth="1"/>
    <col min="31" max="31" width="9.45" style="342" hidden="1" customWidth="1"/>
    <col min="32" max="32" width="8.37" style="342" hidden="1" customWidth="1"/>
    <col min="33" max="33" width="8.78" style="342" hidden="1" customWidth="1"/>
    <col min="34" max="34" width="9.18" style="342" hidden="1" customWidth="1"/>
    <col min="35" max="35" width="8.91" style="342" customWidth="1"/>
    <col min="36" max="36" width="8.78" style="342" hidden="1" customWidth="1"/>
    <col min="37" max="37" width="8.78" style="342" customWidth="1"/>
    <col min="38" max="1025" width="8.64" style="342" customWidth="1"/>
  </cols>
  <sheetData>
    <row ht="40.5" customHeight="1" outlineLevel="0" r="1">
      <c r="A1" s="345" t="s">
        <v>679</v>
      </c>
      <c r="B1" s="346" t="s">
        <v>680</v>
      </c>
      <c r="C1" s="346" t="s">
        <v>681</v>
      </c>
      <c r="D1" s="346" t="s">
        <v>682</v>
      </c>
      <c r="E1" s="346" t="s">
        <v>683</v>
      </c>
      <c r="F1" s="346" t="s">
        <v>684</v>
      </c>
      <c r="G1" s="346" t="s">
        <v>685</v>
      </c>
      <c r="H1" s="346" t="s">
        <v>686</v>
      </c>
      <c r="I1" s="347" t="s">
        <v>687</v>
      </c>
    </row>
    <row ht="15" outlineLevel="0" r="2">
      <c r="A2" s="348" t="s">
        <v>688</v>
      </c>
      <c r="B2" s="349">
        <f>+[6]Tabela_4_Executivo!B12</f>
        <v>118723627056.038</v>
      </c>
      <c r="C2" s="349">
        <f>+[6]Tabela_4_Executivo!K12</f>
        <v>126412947798.248</v>
      </c>
      <c r="D2" s="349">
        <f>+[6]Tabela_4_Executivo!L12</f>
        <v>0</v>
      </c>
      <c r="E2" s="349">
        <f>C2-D2</f>
        <v>126412947798.248</v>
      </c>
      <c r="F2" s="349">
        <f>IF(A2=$A$2,E2/1000000000,"")</f>
        <v>126.412947798248</v>
      </c>
      <c r="G2" s="349" t="str">
        <f>IF(AND(E2&gt;=0,E2&lt;&gt;$E$2,E2&lt;&gt;$E$14),E2/1000000000,"")</f>
        <v/>
      </c>
      <c r="H2" s="349" t="str">
        <f>IF(E2&lt;0,E2/1000000000,"")</f>
        <v/>
      </c>
      <c r="I2" s="350" t="str">
        <f>IF(E2=$E$14,E2/1000000000,"")</f>
        <v/>
      </c>
    </row>
    <row ht="15" outlineLevel="0" r="3">
      <c r="A3" s="348" t="s">
        <v>689</v>
      </c>
      <c r="B3" s="349">
        <f>+[6]Tabela_4_Executivo!B19</f>
        <v>915217077242.117</v>
      </c>
      <c r="C3" s="349">
        <f>+[6]Tabela_4_Executivo!K19</f>
        <v>1132842063061.82</v>
      </c>
      <c r="D3" s="349">
        <f>+[6]Tabela_4_Executivo!L19</f>
        <v>0</v>
      </c>
      <c r="E3" s="349">
        <f>C3-D3</f>
        <v>1132842063061.82</v>
      </c>
      <c r="F3" s="349" t="str">
        <f>IF(A3=$A$2,E3/1000000000,"")</f>
        <v/>
      </c>
      <c r="G3" s="349">
        <f>IF(AND(E3&gt;=0,E3&lt;&gt;$E$2,E3&lt;&gt;$E$14),E3/1000000000,"")</f>
        <v>1132.84206306182</v>
      </c>
      <c r="H3" s="349" t="str">
        <f>IF(E3&lt;0,E3/1000000000,"")</f>
        <v/>
      </c>
      <c r="I3" s="350" t="str">
        <f>IF(E3=$E$14,E3/1000000000,"")</f>
        <v/>
      </c>
    </row>
    <row ht="15" outlineLevel="0" r="4">
      <c r="A4" s="348" t="s">
        <v>690</v>
      </c>
      <c r="B4" s="349">
        <v>350313439685.173</v>
      </c>
      <c r="C4" s="349">
        <f>+[6]Tabela_4_Executivo!K22</f>
        <v>243985369964.75</v>
      </c>
      <c r="D4" s="349">
        <f>+[6]Tabela_4_Executivo!L22</f>
        <v>0</v>
      </c>
      <c r="E4" s="349">
        <f>C4-D4</f>
        <v>243985369964.75</v>
      </c>
      <c r="F4" s="349" t="str">
        <f>IF(A4=$A$2,E4/1000000000,"")</f>
        <v/>
      </c>
      <c r="G4" s="349">
        <f>IF(AND(E4&gt;=0,E4&lt;&gt;$E$2,E4&lt;&gt;$E$14),E4/1000000000,"")</f>
        <v>243.98536996475</v>
      </c>
      <c r="H4" s="349" t="str">
        <f>IF(E4&lt;0,E4/1000000000,"")</f>
        <v/>
      </c>
      <c r="I4" s="350" t="str">
        <f>IF(E4=$E$14,E4/1000000000,"")</f>
        <v/>
      </c>
    </row>
    <row ht="15" outlineLevel="0" r="5">
      <c r="A5" s="351" t="s">
        <v>691</v>
      </c>
      <c r="B5" s="349">
        <v>96896616875.52</v>
      </c>
      <c r="C5" s="349">
        <f>+[6]Tabela_4_Executivo!K18</f>
        <v>10384171800.43</v>
      </c>
      <c r="D5" s="349">
        <f>+[6]Tabela_4_Executivo!L18</f>
        <v>0</v>
      </c>
      <c r="E5" s="349">
        <f>C5-D5</f>
        <v>10384171800.43</v>
      </c>
      <c r="F5" s="349" t="str">
        <f>IF(A5=$A$2,E5/1000000000,"")</f>
        <v/>
      </c>
      <c r="G5" s="349">
        <f>IF(AND(E5&gt;=0,E5&lt;&gt;$E$2,E5&lt;&gt;$E$14),E5/1000000000,"")</f>
        <v>10.38417180043</v>
      </c>
      <c r="H5" s="349" t="str">
        <f>IF(E5&lt;0,E5/1000000000,"")</f>
        <v/>
      </c>
      <c r="I5" s="350" t="str">
        <f>IF(E5=$E$14,E5/1000000000,"")</f>
        <v/>
      </c>
    </row>
    <row ht="15" outlineLevel="0" r="6">
      <c r="A6" s="348" t="s">
        <v>692</v>
      </c>
      <c r="B6" s="349">
        <v>50664222282.2718</v>
      </c>
      <c r="C6" s="349">
        <f>+[6]Tabela_4_Executivo!K23</f>
        <v>23155892604.6842</v>
      </c>
      <c r="D6" s="349">
        <f>+[6]Tabela_4_Executivo!L23</f>
        <v>0</v>
      </c>
      <c r="E6" s="349">
        <f>C6-D6</f>
        <v>23155892604.6842</v>
      </c>
      <c r="F6" s="349" t="str">
        <f>IF(A6=$A$2,E6/1000000000,"")</f>
        <v/>
      </c>
      <c r="G6" s="349">
        <f>IF(AND(E6&gt;=0,E6&lt;&gt;$E$2,E6&lt;&gt;$E$14),E6/1000000000,"")</f>
        <v>23.1558926046842</v>
      </c>
      <c r="H6" s="349" t="str">
        <f>IF(E6&lt;0,E6/1000000000,"")</f>
        <v/>
      </c>
      <c r="I6" s="350" t="str">
        <f>IF(E6=$E$14,E6/1000000000,"")</f>
        <v/>
      </c>
    </row>
    <row ht="15" outlineLevel="0" r="7">
      <c r="A7" s="348" t="s">
        <v>693</v>
      </c>
      <c r="B7" s="349">
        <v>17092644599.81</v>
      </c>
      <c r="C7" s="349">
        <f>+[6]Tabela_4_Executivo!K21</f>
        <v>27059867746.38</v>
      </c>
      <c r="D7" s="349">
        <f>+[6]Tabela_4_Executivo!L21</f>
        <v>0</v>
      </c>
      <c r="E7" s="349">
        <f>C7-D7</f>
        <v>27059867746.38</v>
      </c>
      <c r="F7" s="349" t="str">
        <f>IF(A7=$A$2,E7/1000000000,"")</f>
        <v/>
      </c>
      <c r="G7" s="349">
        <f>IF(AND(E7&gt;=0,E7&lt;&gt;$E$2,E7&lt;&gt;$E$14),E7/1000000000,"")</f>
        <v>27.05986774638</v>
      </c>
      <c r="H7" s="349" t="str">
        <f>IF(E7&lt;0,E7/1000000000,"")</f>
        <v/>
      </c>
      <c r="I7" s="350" t="str">
        <f>IF(E7=$E$14,E7/1000000000,"")</f>
        <v/>
      </c>
    </row>
    <row ht="15" outlineLevel="0" r="8">
      <c r="A8" s="348" t="s">
        <v>694</v>
      </c>
      <c r="B8" s="349">
        <v>20300047743.7224</v>
      </c>
      <c r="C8" s="349">
        <f>+[6]Tabela_4_Executivo!K14</f>
        <v>13907154049.4702</v>
      </c>
      <c r="D8" s="349">
        <f>+[6]Tabela_4_Executivo!L14</f>
        <v>0</v>
      </c>
      <c r="E8" s="349">
        <f>C8-D8</f>
        <v>13907154049.4702</v>
      </c>
      <c r="F8" s="349" t="str">
        <f>IF(A8=$A$2,E8/1000000000,"")</f>
        <v/>
      </c>
      <c r="G8" s="349">
        <f>IF(AND(E8&gt;=0,E8&lt;&gt;$E$2,E8&lt;&gt;$E$14),E8/1000000000,"")</f>
        <v>13.9071540494702</v>
      </c>
      <c r="H8" s="349" t="str">
        <f>IF(E8&lt;0,E8/1000000000,"")</f>
        <v/>
      </c>
      <c r="I8" s="350" t="str">
        <f>IF(E8=$E$14,E8/1000000000,"")</f>
        <v/>
      </c>
    </row>
    <row ht="15" outlineLevel="0" r="9">
      <c r="A9" s="348" t="s">
        <v>695</v>
      </c>
      <c r="B9" s="349">
        <v>4566467114.04242</v>
      </c>
      <c r="C9" s="349">
        <f>+[6]Tabela_4_Executivo!K20</f>
        <v>13530884675.6637</v>
      </c>
      <c r="D9" s="349">
        <f>+[6]Tabela_4_Executivo!L20</f>
        <v>0</v>
      </c>
      <c r="E9" s="349">
        <f>C9-D9</f>
        <v>13530884675.6637</v>
      </c>
      <c r="F9" s="349" t="str">
        <f>IF(A9=$A$2,E9/1000000000,"")</f>
        <v/>
      </c>
      <c r="G9" s="349">
        <f>IF(AND(E9&gt;=0,E9&lt;&gt;$E$2,E9&lt;&gt;$E$14),E9/1000000000,"")</f>
        <v>13.5308846756637</v>
      </c>
      <c r="H9" s="349" t="str">
        <f>IF(E9&lt;0,E9/1000000000,"")</f>
        <v/>
      </c>
      <c r="I9" s="350" t="str">
        <f>IF(E9=$E$14,E9/1000000000,"")</f>
        <v/>
      </c>
    </row>
    <row ht="15" outlineLevel="0" r="10">
      <c r="A10" s="348" t="s">
        <v>696</v>
      </c>
      <c r="B10" s="349">
        <v>43371970324.0257</v>
      </c>
      <c r="C10" s="349">
        <f>+[6]Tabela_4_Executivo!K15</f>
        <v>49452876631.2498</v>
      </c>
      <c r="D10" s="349">
        <f>+[6]Tabela_4_Executivo!L15</f>
        <v>0</v>
      </c>
      <c r="E10" s="349">
        <f>C10-D10</f>
        <v>49452876631.2498</v>
      </c>
      <c r="F10" s="349" t="str">
        <f>IF(A10=$A$2,E10/1000000000,"")</f>
        <v/>
      </c>
      <c r="G10" s="349">
        <f>IF(AND(E10&gt;=0,E10&lt;&gt;$E$2,E10&lt;&gt;$E$14),E10/1000000000,"")</f>
        <v>49.4528766312498</v>
      </c>
      <c r="H10" s="349" t="str">
        <f>IF(E10&lt;0,E10/1000000000,"")</f>
        <v/>
      </c>
      <c r="I10" s="350" t="str">
        <f>IF(E10=$E$14,E10/1000000000,"")</f>
        <v/>
      </c>
    </row>
    <row ht="15" outlineLevel="0" r="11">
      <c r="A11" s="348" t="s">
        <v>697</v>
      </c>
      <c r="B11" s="349">
        <v>99059392</v>
      </c>
      <c r="C11" s="349">
        <f>+[6]Tabela_4_Executivo!K24</f>
        <v>71288522.0600006</v>
      </c>
      <c r="D11" s="349">
        <f>+[6]Tabela_4_Executivo!L24</f>
        <v>0</v>
      </c>
      <c r="E11" s="349">
        <f>C11-D11</f>
        <v>71288522.0600006</v>
      </c>
      <c r="F11" s="349" t="str">
        <f>IF(A11=$A$2,E11/1000000000,"")</f>
        <v/>
      </c>
      <c r="G11" s="349">
        <f>IF(AND(E11&gt;=0,E11&lt;&gt;$E$2,E11&lt;&gt;$E$14),E11/1000000000,"")</f>
        <v>0.0712885220600006</v>
      </c>
      <c r="H11" s="349" t="str">
        <f>IF(E11&lt;0,E11/1000000000,"")</f>
        <v/>
      </c>
      <c r="I11" s="350" t="str">
        <f>IF(E11=$E$14,E11/1000000000,"")</f>
        <v/>
      </c>
    </row>
    <row ht="15" customHeight="1" outlineLevel="0" r="12">
      <c r="A12" s="348" t="s">
        <v>698</v>
      </c>
      <c r="B12" s="349">
        <v>3707321724.66</v>
      </c>
      <c r="C12" s="349">
        <f>+[6]Tabela_4_Executivo!K16</f>
        <v>-7458828598.13</v>
      </c>
      <c r="D12" s="349">
        <f>+[6]Tabela_4_Executivo!L16</f>
        <v>0</v>
      </c>
      <c r="E12" s="349">
        <f>C12-D12</f>
        <v>-7458828598.13</v>
      </c>
      <c r="F12" s="349" t="str">
        <f>IF(A12=$A$2,E12/1000000000,"")</f>
        <v/>
      </c>
      <c r="G12" s="349" t="str">
        <f>IF(AND(E12&gt;=0,E12&lt;&gt;$E$2,E12&lt;&gt;$E$14),E12/1000000000,"")</f>
        <v/>
      </c>
      <c r="H12" s="349">
        <f>IF(E12&lt;0,E12/1000000000,"")</f>
        <v>-7.45882859813</v>
      </c>
      <c r="I12" s="350" t="str">
        <f>IF(E12=$E$14,E12/1000000000,"")</f>
        <v/>
      </c>
    </row>
    <row ht="15" outlineLevel="0" r="13">
      <c r="A13" s="348" t="s">
        <v>699</v>
      </c>
      <c r="B13" s="349">
        <v>65937540261.77</v>
      </c>
      <c r="C13" s="349">
        <f>+[6]Tabela_4_Executivo!K17</f>
        <v>-93299069042.36</v>
      </c>
      <c r="D13" s="349">
        <f>+[6]Tabela_4_Executivo!L17</f>
        <v>0</v>
      </c>
      <c r="E13" s="349">
        <f>C13-D13</f>
        <v>-93299069042.36</v>
      </c>
      <c r="F13" s="349" t="str">
        <f>IF(A13=$A$2,E13/1000000000,"")</f>
        <v/>
      </c>
      <c r="G13" s="349" t="str">
        <f>IF(AND(E13&gt;=0,E13&lt;&gt;$E$2,E13&lt;&gt;$E$14),E13/1000000000,"")</f>
        <v/>
      </c>
      <c r="H13" s="349">
        <f>IF(E13&lt;0,E13/1000000000,"")</f>
        <v>-93.29906904236</v>
      </c>
      <c r="I13" s="350" t="str">
        <f>IF(E13=$E$14,E13/1000000000,"")</f>
        <v/>
      </c>
    </row>
    <row ht="15" outlineLevel="0" r="14">
      <c r="A14" s="352" t="s">
        <v>700</v>
      </c>
      <c r="B14" s="353">
        <f>SUM(B2:B13)</f>
        <v>1686890034301.15</v>
      </c>
      <c r="C14" s="353">
        <f>SUM(C2:C13)</f>
        <v>1540044619214.27</v>
      </c>
      <c r="D14" s="353">
        <f>SUM(D2:D13)</f>
        <v>0</v>
      </c>
      <c r="E14" s="349">
        <f>C14-D14</f>
        <v>1540044619214.27</v>
      </c>
      <c r="F14" s="353" t="str">
        <f>IF(A14=$A$2,E14/1000000000,"")</f>
        <v/>
      </c>
      <c r="G14" s="353" t="str">
        <f>IF(AND(E14&gt;=0,E14&lt;&gt;$E$2,E14&lt;&gt;$E$14),E14/1000000000,"")</f>
        <v/>
      </c>
      <c r="H14" s="353" t="str">
        <f>IF(E14&lt;0,E14/1000000000,"")</f>
        <v/>
      </c>
      <c r="I14" s="354">
        <f>IF(E14=$E$14,E14/1000000000,"")</f>
        <v>1540.04461921427</v>
      </c>
    </row>
    <row ht="15" outlineLevel="0" r="30">
      <c r="M30" s="355"/>
      <c r="N30" s="356" t="s">
        <v>701</v>
      </c>
      <c r="O30" s="357" t="s">
        <v>702</v>
      </c>
      <c r="P30" s="358" t="s">
        <v>703</v>
      </c>
      <c r="Q30" s="358" t="s">
        <v>704</v>
      </c>
      <c r="R30" s="358" t="s">
        <v>705</v>
      </c>
      <c r="S30" s="358" t="s">
        <v>706</v>
      </c>
      <c r="T30" s="358" t="s">
        <v>707</v>
      </c>
      <c r="U30" s="358" t="s">
        <v>708</v>
      </c>
      <c r="V30" s="358" t="s">
        <v>709</v>
      </c>
      <c r="W30" s="357" t="s">
        <v>710</v>
      </c>
      <c r="X30" s="357" t="s">
        <v>711</v>
      </c>
      <c r="Y30" s="357" t="s">
        <v>712</v>
      </c>
      <c r="Z30" s="357" t="s">
        <v>713</v>
      </c>
      <c r="AA30" s="357" t="s">
        <v>714</v>
      </c>
      <c r="AB30" s="357" t="s">
        <v>715</v>
      </c>
      <c r="AC30" s="357" t="s">
        <v>716</v>
      </c>
      <c r="AD30" s="357" t="s">
        <v>717</v>
      </c>
      <c r="AE30" s="357" t="s">
        <v>718</v>
      </c>
      <c r="AF30" s="357" t="s">
        <v>719</v>
      </c>
      <c r="AG30" s="357" t="s">
        <v>720</v>
      </c>
      <c r="AH30" s="357" t="s">
        <v>721</v>
      </c>
      <c r="AI30" s="357" t="s">
        <v>722</v>
      </c>
      <c r="AJ30" s="357" t="s">
        <v>723</v>
      </c>
      <c r="AK30" s="357" t="s">
        <v>724</v>
      </c>
    </row>
    <row ht="15" outlineLevel="0" r="31">
      <c r="M31" s="359" t="s">
        <v>725</v>
      </c>
      <c r="N31" s="360">
        <v>66.7044018077297</v>
      </c>
      <c r="O31" s="360">
        <v>81.811405124144</v>
      </c>
      <c r="P31" s="360">
        <v>87.217679053508</v>
      </c>
      <c r="Q31" s="360">
        <v>72.6441533627983</v>
      </c>
      <c r="R31" s="360">
        <v>83.1144608490761</v>
      </c>
      <c r="S31" s="360">
        <v>80.6783318228499</v>
      </c>
      <c r="T31" s="360">
        <v>85.697142597429</v>
      </c>
      <c r="U31" s="360">
        <v>91.4561142517128</v>
      </c>
      <c r="V31" s="360">
        <v>67.7131535814172</v>
      </c>
      <c r="W31" s="360">
        <v>33.953410997308</v>
      </c>
      <c r="X31" s="360">
        <v>64.3991635953164</v>
      </c>
      <c r="Y31" s="360">
        <v>77.896388170972</v>
      </c>
      <c r="Z31" s="360">
        <v>87.7</v>
      </c>
      <c r="AA31" s="360">
        <v>90.403910465613</v>
      </c>
      <c r="AB31" s="360">
        <v>101.371801650883</v>
      </c>
      <c r="AC31" s="360">
        <v>104.421382912114</v>
      </c>
      <c r="AD31" s="360">
        <v>57.2220839663966</v>
      </c>
      <c r="AE31" s="360">
        <v>70.4037927814291</v>
      </c>
      <c r="AF31" s="360">
        <v>81.6015566586153</v>
      </c>
      <c r="AG31" s="360">
        <v>92.1973348059051</v>
      </c>
      <c r="AH31" s="360">
        <v>92.5615323753722</v>
      </c>
      <c r="AI31" s="360">
        <v>126.643272776794</v>
      </c>
      <c r="AJ31" s="360">
        <v>123.253537609902</v>
      </c>
      <c r="AK31" s="360">
        <f>E2/1000000000</f>
        <v>126.412947798248</v>
      </c>
    </row>
    <row ht="15" outlineLevel="0" r="32">
      <c r="L32" s="361">
        <v>6</v>
      </c>
      <c r="M32" s="362" t="str">
        <f>+A3</f>
        <v>Recursos da Dívida Pública</v>
      </c>
      <c r="N32" s="363">
        <v>626.514238302686</v>
      </c>
      <c r="O32" s="363">
        <v>581.312119220957</v>
      </c>
      <c r="P32" s="363">
        <v>604.4</v>
      </c>
      <c r="Q32" s="363">
        <v>614.464359262119</v>
      </c>
      <c r="R32" s="363">
        <v>623.712330594004</v>
      </c>
      <c r="S32" s="363">
        <v>659.367558249889</v>
      </c>
      <c r="T32" s="363">
        <v>692.266448238217</v>
      </c>
      <c r="U32" s="363">
        <v>625.448684117554</v>
      </c>
      <c r="V32" s="363">
        <v>638.913009696453</v>
      </c>
      <c r="W32" s="363">
        <v>647.792405893191</v>
      </c>
      <c r="X32" s="363">
        <v>516.150422085407</v>
      </c>
      <c r="Y32" s="363">
        <v>565.045603322289</v>
      </c>
      <c r="Z32" s="363">
        <v>564.5</v>
      </c>
      <c r="AA32" s="363">
        <v>513.921929313985</v>
      </c>
      <c r="AB32" s="363">
        <v>577.544445540779</v>
      </c>
      <c r="AC32" s="363">
        <v>640.237676859189</v>
      </c>
      <c r="AD32" s="363">
        <v>637.024461906133</v>
      </c>
      <c r="AE32" s="363">
        <v>628.358413030437</v>
      </c>
      <c r="AF32" s="363">
        <v>642.977841418629</v>
      </c>
      <c r="AG32" s="363">
        <v>563.100662444455</v>
      </c>
      <c r="AH32" s="363">
        <v>582.282686054009</v>
      </c>
      <c r="AI32" s="364">
        <v>753.569901456834</v>
      </c>
      <c r="AJ32" s="364">
        <v>650.323682488479</v>
      </c>
      <c r="AK32" s="364">
        <f>E3/1000000000</f>
        <v>1132.84206306182</v>
      </c>
    </row>
    <row ht="15" outlineLevel="0" r="33">
      <c r="L33" s="361">
        <v>9</v>
      </c>
      <c r="M33" s="365" t="str">
        <f>+A4</f>
        <v>Recursos Vinculados a Fundos, Órgãos e Programas</v>
      </c>
      <c r="N33" s="366">
        <v>291.502898333619</v>
      </c>
      <c r="O33" s="366">
        <v>307.985243345933</v>
      </c>
      <c r="P33" s="366">
        <v>269.475895572169</v>
      </c>
      <c r="Q33" s="366">
        <v>271.570179438801</v>
      </c>
      <c r="R33" s="366">
        <v>280.214337534071</v>
      </c>
      <c r="S33" s="366">
        <v>278.06145286527</v>
      </c>
      <c r="T33" s="366">
        <v>272.923612134859</v>
      </c>
      <c r="U33" s="366">
        <v>279.681336493133</v>
      </c>
      <c r="V33" s="366">
        <v>277.359011541056</v>
      </c>
      <c r="W33" s="366">
        <v>258.180901422708</v>
      </c>
      <c r="X33" s="366">
        <v>267.876092455495</v>
      </c>
      <c r="Y33" s="366">
        <v>271.402152520376</v>
      </c>
      <c r="Z33" s="366">
        <v>273.8</v>
      </c>
      <c r="AA33" s="366">
        <v>282.453350306913</v>
      </c>
      <c r="AB33" s="366">
        <v>285.145170841245</v>
      </c>
      <c r="AC33" s="366">
        <v>289.900280755097</v>
      </c>
      <c r="AD33" s="366">
        <v>305.047594965456</v>
      </c>
      <c r="AE33" s="366">
        <v>306.035533381954</v>
      </c>
      <c r="AF33" s="366">
        <v>310.358751220088</v>
      </c>
      <c r="AG33" s="366">
        <v>314.626953579201</v>
      </c>
      <c r="AH33" s="366">
        <v>314.385313270598</v>
      </c>
      <c r="AI33" s="364">
        <v>321.27451139219</v>
      </c>
      <c r="AJ33" s="364">
        <v>322.070801995946</v>
      </c>
      <c r="AK33" s="364">
        <f>E4/1000000000</f>
        <v>243.98536996475</v>
      </c>
    </row>
    <row ht="15" outlineLevel="0" r="34">
      <c r="L34" s="361">
        <v>5</v>
      </c>
      <c r="M34" s="365" t="str">
        <f>+A5</f>
        <v>Recursos de Receitas Financeiras Vinculadas</v>
      </c>
      <c r="N34" s="366">
        <v>0</v>
      </c>
      <c r="O34" s="366">
        <v>42.7818303889044</v>
      </c>
      <c r="P34" s="366">
        <v>53.1</v>
      </c>
      <c r="Q34" s="366">
        <v>84.8697480371695</v>
      </c>
      <c r="R34" s="366">
        <v>48.3631197285887</v>
      </c>
      <c r="S34" s="366">
        <v>25.8660681660871</v>
      </c>
      <c r="T34" s="366">
        <v>147.228860189831</v>
      </c>
      <c r="U34" s="366">
        <v>147.334283018986</v>
      </c>
      <c r="V34" s="366">
        <v>140.469458733058</v>
      </c>
      <c r="W34" s="366">
        <v>151.307134406665</v>
      </c>
      <c r="X34" s="366">
        <v>161.305530937658</v>
      </c>
      <c r="Y34" s="366">
        <v>175.330475200049</v>
      </c>
      <c r="Z34" s="366">
        <v>204.8</v>
      </c>
      <c r="AA34" s="366">
        <v>212.948658907489</v>
      </c>
      <c r="AB34" s="366">
        <v>136.360341827302</v>
      </c>
      <c r="AC34" s="366">
        <v>148.785142377515</v>
      </c>
      <c r="AD34" s="366">
        <v>161.696378024446</v>
      </c>
      <c r="AE34" s="366">
        <v>173.63171298938</v>
      </c>
      <c r="AF34" s="366">
        <v>246.446803295964</v>
      </c>
      <c r="AG34" s="366">
        <v>213.294601078939</v>
      </c>
      <c r="AH34" s="366">
        <v>223.882351497841</v>
      </c>
      <c r="AI34" s="364">
        <v>96.22207428419</v>
      </c>
      <c r="AJ34" s="364">
        <v>100.11417387259</v>
      </c>
      <c r="AK34" s="364">
        <f>E5/1000000000</f>
        <v>10.38417180043</v>
      </c>
    </row>
    <row ht="15" outlineLevel="0" r="35">
      <c r="L35" s="361">
        <v>10</v>
      </c>
      <c r="M35" s="365" t="str">
        <f>+A7</f>
        <v>Rec. de Transf. a Estados, DF, Municípios, inclusive Fundos</v>
      </c>
      <c r="N35" s="366">
        <v>29.81366708805</v>
      </c>
      <c r="O35" s="366">
        <v>33.0563302928799</v>
      </c>
      <c r="P35" s="366">
        <v>33.74388309658</v>
      </c>
      <c r="Q35" s="366">
        <v>33.47594758401</v>
      </c>
      <c r="R35" s="366">
        <v>34.47129485866</v>
      </c>
      <c r="S35" s="366">
        <v>35.15682303311</v>
      </c>
      <c r="T35" s="366">
        <v>34.99898099688</v>
      </c>
      <c r="U35" s="366">
        <v>33.03922308508</v>
      </c>
      <c r="V35" s="366">
        <v>33.04347017542</v>
      </c>
      <c r="W35" s="366">
        <v>31.3610707923199</v>
      </c>
      <c r="X35" s="366">
        <v>31.33044438104</v>
      </c>
      <c r="Y35" s="366">
        <v>32.8941704619802</v>
      </c>
      <c r="Z35" s="366">
        <v>33</v>
      </c>
      <c r="AA35" s="366">
        <v>33.8264070019463</v>
      </c>
      <c r="AB35" s="366">
        <v>33.3634472938923</v>
      </c>
      <c r="AC35" s="366">
        <v>32.8750389851652</v>
      </c>
      <c r="AD35" s="366">
        <v>32.2628783823976</v>
      </c>
      <c r="AE35" s="366">
        <v>33.1043555750777</v>
      </c>
      <c r="AF35" s="366">
        <v>35.1899376723798</v>
      </c>
      <c r="AG35" s="366">
        <v>34.3515599336958</v>
      </c>
      <c r="AH35" s="366">
        <v>32.9083738057255</v>
      </c>
      <c r="AI35" s="364">
        <v>32.359832108361</v>
      </c>
      <c r="AJ35" s="364">
        <v>32.2714599931619</v>
      </c>
      <c r="AK35" s="364">
        <f>E7/1000000000</f>
        <v>27.05986774638</v>
      </c>
    </row>
    <row ht="15" outlineLevel="0" r="36">
      <c r="L36" s="361">
        <v>1</v>
      </c>
      <c r="M36" s="365" t="str">
        <f>+A9</f>
        <v>Recursos de Alienação de Bens e Direitos</v>
      </c>
      <c r="N36" s="366">
        <v>14.2374914541905</v>
      </c>
      <c r="O36" s="366">
        <v>11.8281627016677</v>
      </c>
      <c r="P36" s="366">
        <v>11.7106319187093</v>
      </c>
      <c r="Q36" s="366">
        <v>11.9433729108723</v>
      </c>
      <c r="R36" s="366">
        <v>11.7559225343872</v>
      </c>
      <c r="S36" s="366">
        <v>11.0701317026403</v>
      </c>
      <c r="T36" s="366">
        <v>10.7596727945721</v>
      </c>
      <c r="U36" s="366">
        <v>11.699597368911</v>
      </c>
      <c r="V36" s="366">
        <v>10.5332662810483</v>
      </c>
      <c r="W36" s="366">
        <v>8.63265676266601</v>
      </c>
      <c r="X36" s="366">
        <v>9.77499565831479</v>
      </c>
      <c r="Y36" s="366">
        <v>10.1852193381969</v>
      </c>
      <c r="Z36" s="366">
        <v>10.6</v>
      </c>
      <c r="AA36" s="366">
        <v>10.7792972149003</v>
      </c>
      <c r="AB36" s="366">
        <v>11.2270288632391</v>
      </c>
      <c r="AC36" s="366">
        <v>11.6031255887525</v>
      </c>
      <c r="AD36" s="366">
        <v>12.065024876253</v>
      </c>
      <c r="AE36" s="366">
        <v>12.1441095214715</v>
      </c>
      <c r="AF36" s="366">
        <v>12.0599444762301</v>
      </c>
      <c r="AG36" s="366">
        <v>12.3126728764463</v>
      </c>
      <c r="AH36" s="366">
        <v>12.34466596649</v>
      </c>
      <c r="AI36" s="364">
        <v>27.7171391707157</v>
      </c>
      <c r="AJ36" s="364">
        <v>15.455478849148</v>
      </c>
      <c r="AK36" s="364">
        <f>E9/1000000000</f>
        <v>13.5308846756637</v>
      </c>
    </row>
    <row ht="15" outlineLevel="0" r="37">
      <c r="L37" s="361">
        <v>8</v>
      </c>
      <c r="M37" s="365" t="str">
        <f>+A8</f>
        <v>Recursos vinculados à Educação</v>
      </c>
      <c r="N37" s="366">
        <v>12.63992976581</v>
      </c>
      <c r="O37" s="366">
        <v>24.06790469156</v>
      </c>
      <c r="P37" s="366">
        <v>18.61437092318</v>
      </c>
      <c r="Q37" s="366">
        <v>16.72889111121</v>
      </c>
      <c r="R37" s="366">
        <v>19.3955938111</v>
      </c>
      <c r="S37" s="366">
        <v>12.69917165447</v>
      </c>
      <c r="T37" s="366">
        <v>16.20184777825</v>
      </c>
      <c r="U37" s="366">
        <v>23.73968325569</v>
      </c>
      <c r="V37" s="366">
        <v>20.15966148254</v>
      </c>
      <c r="W37" s="366">
        <v>7.58428415649</v>
      </c>
      <c r="X37" s="366">
        <v>28.00666179347</v>
      </c>
      <c r="Y37" s="366">
        <v>17.62301157008</v>
      </c>
      <c r="Z37" s="366">
        <v>18.4</v>
      </c>
      <c r="AA37" s="366">
        <v>27.48774406812</v>
      </c>
      <c r="AB37" s="366">
        <v>19.41115968547</v>
      </c>
      <c r="AC37" s="366">
        <v>17.82850123883</v>
      </c>
      <c r="AD37" s="366">
        <v>21.82864972163</v>
      </c>
      <c r="AE37" s="366">
        <v>16.59712396672</v>
      </c>
      <c r="AF37" s="366">
        <v>16.88155478749</v>
      </c>
      <c r="AG37" s="366">
        <v>24.67314816454</v>
      </c>
      <c r="AH37" s="366">
        <v>20.58104350408</v>
      </c>
      <c r="AI37" s="364">
        <v>18.2380209584124</v>
      </c>
      <c r="AJ37" s="364">
        <v>31.52556460463</v>
      </c>
      <c r="AK37" s="364">
        <f>E8/1000000000</f>
        <v>13.9071540494702</v>
      </c>
    </row>
    <row ht="15" outlineLevel="0" r="38">
      <c r="L38" s="361">
        <v>11</v>
      </c>
      <c r="M38" s="365" t="str">
        <f>+A13</f>
        <v>Recursos vinculados à Previdência Social (RGPS)</v>
      </c>
      <c r="N38" s="366">
        <v>0</v>
      </c>
      <c r="O38" s="366">
        <v>-1.16860488327</v>
      </c>
      <c r="P38" s="366">
        <v>-1.1</v>
      </c>
      <c r="Q38" s="366">
        <v>-1.09507531369</v>
      </c>
      <c r="R38" s="366">
        <v>-1.10782280376</v>
      </c>
      <c r="S38" s="366">
        <v>-1.1</v>
      </c>
      <c r="T38" s="366">
        <v>-1.04484942405</v>
      </c>
      <c r="U38" s="366">
        <v>-0.985672540740001</v>
      </c>
      <c r="V38" s="366">
        <v>-0.888144835739998</v>
      </c>
      <c r="W38" s="366">
        <v>0.0613568217400002</v>
      </c>
      <c r="X38" s="366">
        <v>1.42401273068001</v>
      </c>
      <c r="Y38" s="366">
        <v>0.069006891249998</v>
      </c>
      <c r="Z38" s="366">
        <v>0.1</v>
      </c>
      <c r="AA38" s="366">
        <v>0.1679165602</v>
      </c>
      <c r="AB38" s="366">
        <v>0.165335754609998</v>
      </c>
      <c r="AC38" s="366">
        <v>0.168764287319999</v>
      </c>
      <c r="AD38" s="366">
        <v>0.143813894700003</v>
      </c>
      <c r="AE38" s="366">
        <v>0.145699183330001</v>
      </c>
      <c r="AF38" s="366">
        <v>0.14403488292</v>
      </c>
      <c r="AG38" s="366">
        <v>0.144147969430002</v>
      </c>
      <c r="AH38" s="366">
        <v>0.138238565049997</v>
      </c>
      <c r="AI38" s="364">
        <v>17.06407945159</v>
      </c>
      <c r="AJ38" s="364">
        <v>0.0632417526600024</v>
      </c>
      <c r="AK38" s="364">
        <f>E13/1000000000</f>
        <v>-93.29906904236</v>
      </c>
    </row>
    <row ht="15" outlineLevel="0" r="39">
      <c r="L39" s="361">
        <v>7</v>
      </c>
      <c r="M39" s="365" t="str">
        <f>+A10</f>
        <v>Rec. vinculados à Seguridade Social (exceto Previdência)</v>
      </c>
      <c r="N39" s="366">
        <v>0.34273360135876</v>
      </c>
      <c r="O39" s="366">
        <v>0.3371035007108</v>
      </c>
      <c r="P39" s="366">
        <v>0.352196930216</v>
      </c>
      <c r="Q39" s="366">
        <v>0.360067060392402</v>
      </c>
      <c r="R39" s="366">
        <v>0.993489953537196</v>
      </c>
      <c r="S39" s="366">
        <v>0.993933359608402</v>
      </c>
      <c r="T39" s="366">
        <v>1.0077367073592</v>
      </c>
      <c r="U39" s="366">
        <v>1.0322186460756</v>
      </c>
      <c r="V39" s="366">
        <v>0.980147539872402</v>
      </c>
      <c r="W39" s="366">
        <v>0.97945679185361</v>
      </c>
      <c r="X39" s="366">
        <v>0.99167289388097</v>
      </c>
      <c r="Y39" s="366">
        <v>1.00139347098621</v>
      </c>
      <c r="Z39" s="366">
        <v>1.1</v>
      </c>
      <c r="AA39" s="366">
        <v>1.15939529202054</v>
      </c>
      <c r="AB39" s="366">
        <v>1.16981493193952</v>
      </c>
      <c r="AC39" s="366">
        <v>1.06163324364461</v>
      </c>
      <c r="AD39" s="366">
        <v>4.27270308619995</v>
      </c>
      <c r="AE39" s="366">
        <v>4.29078187154021</v>
      </c>
      <c r="AF39" s="366">
        <v>4.32992101702922</v>
      </c>
      <c r="AG39" s="366">
        <v>4.28109391951478</v>
      </c>
      <c r="AH39" s="366">
        <v>4.29112748655904</v>
      </c>
      <c r="AI39" s="364">
        <v>14.30510691168</v>
      </c>
      <c r="AJ39" s="364">
        <v>5.24393957791947</v>
      </c>
      <c r="AK39" s="364">
        <f>E10/1000000000</f>
        <v>49.4528766312498</v>
      </c>
    </row>
    <row ht="15" outlineLevel="0" r="40">
      <c r="L40" s="361">
        <v>3</v>
      </c>
      <c r="M40" s="365" t="str">
        <f>+A11</f>
        <v>Recursos a Classificar</v>
      </c>
      <c r="N40" s="366">
        <v>-1.36701400037</v>
      </c>
      <c r="O40" s="366">
        <v>-5.75872508453</v>
      </c>
      <c r="P40" s="366">
        <v>-5.25582052327</v>
      </c>
      <c r="Q40" s="366">
        <v>-4.72296499565</v>
      </c>
      <c r="R40" s="366">
        <v>-4.74763102042</v>
      </c>
      <c r="S40" s="366">
        <v>-5.3</v>
      </c>
      <c r="T40" s="366">
        <v>-6.35640696427</v>
      </c>
      <c r="U40" s="366">
        <v>-6.62015208768</v>
      </c>
      <c r="V40" s="366">
        <v>-1.68252421939</v>
      </c>
      <c r="W40" s="366">
        <v>-0.0697794886099997</v>
      </c>
      <c r="X40" s="366">
        <v>-0.50963635093</v>
      </c>
      <c r="Y40" s="366">
        <v>-0.40237444934</v>
      </c>
      <c r="Z40" s="366">
        <v>-0.9</v>
      </c>
      <c r="AA40" s="366">
        <v>-0.62387675681</v>
      </c>
      <c r="AB40" s="366">
        <v>-0.12601682968</v>
      </c>
      <c r="AC40" s="366">
        <v>-0.62930171308</v>
      </c>
      <c r="AD40" s="366">
        <v>-0.61681867543</v>
      </c>
      <c r="AE40" s="366">
        <v>-0.79249342131</v>
      </c>
      <c r="AF40" s="366">
        <v>-1.97966177229</v>
      </c>
      <c r="AG40" s="366">
        <v>-2.33610228535</v>
      </c>
      <c r="AH40" s="366">
        <v>-1.23732333587</v>
      </c>
      <c r="AI40" s="364">
        <v>4.20891984522242</v>
      </c>
      <c r="AJ40" s="364">
        <v>-1.96762241522</v>
      </c>
      <c r="AK40" s="364">
        <f>E11/1000000000</f>
        <v>0.0712885220600006</v>
      </c>
    </row>
    <row ht="15" outlineLevel="0" r="41">
      <c r="L41" s="361">
        <v>2</v>
      </c>
      <c r="M41" s="365" t="str">
        <f>+A6</f>
        <v>Outros Recursos Vinculados</v>
      </c>
      <c r="N41" s="366">
        <v>-3.73784853470213</v>
      </c>
      <c r="O41" s="366">
        <v>7.57597870764544</v>
      </c>
      <c r="P41" s="366">
        <v>10.3013970127943</v>
      </c>
      <c r="Q41" s="366">
        <v>12.2661309373778</v>
      </c>
      <c r="R41" s="366">
        <v>13.6323261012331</v>
      </c>
      <c r="S41" s="366">
        <v>7.18049800793635</v>
      </c>
      <c r="T41" s="366">
        <v>5.8440653309481</v>
      </c>
      <c r="U41" s="366">
        <v>10.5047457188862</v>
      </c>
      <c r="V41" s="366">
        <v>15.3700695197772</v>
      </c>
      <c r="W41" s="366">
        <v>12.6725491803889</v>
      </c>
      <c r="X41" s="366">
        <v>21.9473210696129</v>
      </c>
      <c r="Y41" s="366">
        <v>14.3425490154004</v>
      </c>
      <c r="Z41" s="366">
        <v>6.4</v>
      </c>
      <c r="AA41" s="366">
        <v>4.12810756279542</v>
      </c>
      <c r="AB41" s="366">
        <v>-2.06113924792853</v>
      </c>
      <c r="AC41" s="366">
        <v>-5.62414217513819</v>
      </c>
      <c r="AD41" s="366">
        <v>-3.93657621972879</v>
      </c>
      <c r="AE41" s="366">
        <v>-0.93110181652703</v>
      </c>
      <c r="AF41" s="366">
        <v>1.31735010428352</v>
      </c>
      <c r="AG41" s="366">
        <v>12.9079454104821</v>
      </c>
      <c r="AH41" s="366">
        <v>19.6041334927019</v>
      </c>
      <c r="AI41" s="364">
        <v>0.12367333289</v>
      </c>
      <c r="AJ41" s="364">
        <v>42.1431281551376</v>
      </c>
      <c r="AK41" s="364">
        <f>E6/1000000000</f>
        <v>23.1558926046842</v>
      </c>
    </row>
    <row ht="15" outlineLevel="0" r="42">
      <c r="L42" s="361">
        <v>4</v>
      </c>
      <c r="M42" s="367" t="str">
        <f>+A12</f>
        <v>Recursos vinculados à Previdência Social (RPPS)</v>
      </c>
      <c r="N42" s="368">
        <v>-5.36063536869</v>
      </c>
      <c r="O42" s="368">
        <v>-55.47242032701</v>
      </c>
      <c r="P42" s="368">
        <v>-69.36475995431</v>
      </c>
      <c r="Q42" s="368">
        <v>-83.14200795725</v>
      </c>
      <c r="R42" s="368">
        <v>-79.62960726589</v>
      </c>
      <c r="S42" s="368">
        <v>-51.57830573042</v>
      </c>
      <c r="T42" s="368">
        <v>-31.99280289035</v>
      </c>
      <c r="U42" s="368">
        <v>-44.42287612272</v>
      </c>
      <c r="V42" s="368">
        <v>-16.76747885454</v>
      </c>
      <c r="W42" s="368">
        <v>7.39378208577988</v>
      </c>
      <c r="X42" s="368">
        <v>-6.84632789952</v>
      </c>
      <c r="Y42" s="368">
        <v>-21.55726790908</v>
      </c>
      <c r="Z42" s="368">
        <v>-35.8</v>
      </c>
      <c r="AA42" s="368">
        <v>-48.76284651056</v>
      </c>
      <c r="AB42" s="368">
        <v>-62.07844840286</v>
      </c>
      <c r="AC42" s="368">
        <v>-76.08128793157</v>
      </c>
      <c r="AD42" s="368">
        <v>-91.05230980143</v>
      </c>
      <c r="AE42" s="368">
        <v>-81.68811934205</v>
      </c>
      <c r="AF42" s="368">
        <v>-58.91084875284</v>
      </c>
      <c r="AG42" s="368">
        <v>-34.89840682636</v>
      </c>
      <c r="AH42" s="368">
        <v>-17.07039556865</v>
      </c>
      <c r="AI42" s="364">
        <v>0.103889168870001</v>
      </c>
      <c r="AJ42" s="364">
        <v>-1.9708677431</v>
      </c>
      <c r="AK42" s="364">
        <f>E12/1000000000</f>
        <v>-7.45882859813</v>
      </c>
    </row>
    <row ht="15" outlineLevel="0" r="43">
      <c r="M43" s="355" t="s">
        <v>726</v>
      </c>
      <c r="N43" s="369">
        <f>+SUM(N31:N42)</f>
        <v>1031.28986244968</v>
      </c>
      <c r="O43" s="369">
        <f>+SUM(O31:O42)</f>
        <v>1028.35632767959</v>
      </c>
      <c r="P43" s="369">
        <f>+SUM(P31:P42)</f>
        <v>1013.19547402958</v>
      </c>
      <c r="Q43" s="369">
        <f>+SUM(Q31:Q42)</f>
        <v>1029.36280143816</v>
      </c>
      <c r="R43" s="369">
        <f>+SUM(R31:R42)</f>
        <v>1030.16781487459</v>
      </c>
      <c r="S43" s="369">
        <f>+SUM(S31:S42)</f>
        <v>1053.09566313144</v>
      </c>
      <c r="T43" s="369">
        <f>+SUM(T31:T42)</f>
        <v>1227.53430748968</v>
      </c>
      <c r="U43" s="369">
        <f>+SUM(U31:U42)</f>
        <v>1171.90718520489</v>
      </c>
      <c r="V43" s="369">
        <f>+SUM(V31:V42)</f>
        <v>1185.20310064097</v>
      </c>
      <c r="W43" s="369">
        <v>1159.8492298225</v>
      </c>
      <c r="X43" s="369">
        <f>+SUM(X31:X42)</f>
        <v>1095.85035335042</v>
      </c>
      <c r="Y43" s="369">
        <f>+SUM(Y31:Y42)</f>
        <v>1143.83032760316</v>
      </c>
      <c r="Z43" s="369">
        <f>+SUM(Z31:Z42)</f>
        <v>1163.7</v>
      </c>
      <c r="AA43" s="369">
        <v>1127.88999342661</v>
      </c>
      <c r="AB43" s="369">
        <v>1101.49294190889</v>
      </c>
      <c r="AC43" s="369">
        <v>1164.54681442784</v>
      </c>
      <c r="AD43" s="369">
        <f>+SUM(AD31:AD42)</f>
        <v>1135.95788412702</v>
      </c>
      <c r="AE43" s="369">
        <f>+SUM(AE31:AE42)</f>
        <v>1161.29980772145</v>
      </c>
      <c r="AF43" s="369">
        <v>1290.4171850085</v>
      </c>
      <c r="AG43" s="369">
        <v>1234.6556110709</v>
      </c>
      <c r="AH43" s="369">
        <v>1284.67174711391</v>
      </c>
      <c r="AI43" s="369">
        <f>+SUM(AI31:AI42)</f>
        <v>1411.83042085775</v>
      </c>
      <c r="AJ43" s="369">
        <f>+SUM(AJ31:AJ42)</f>
        <v>1318.52651874125</v>
      </c>
      <c r="AK43" s="369">
        <f>+SUM(AK31:AK42)</f>
        <v>1540.04461921427</v>
      </c>
    </row>
    <row ht="15" outlineLevel="0" r="44">
      <c r="M44" s="359" t="s">
        <v>727</v>
      </c>
      <c r="N44" s="360">
        <f>+N41+N40+N42</f>
        <v>-10.4654979037621</v>
      </c>
      <c r="O44" s="360">
        <v>-62.39975029481</v>
      </c>
      <c r="P44" s="360">
        <v>-75.72058047758</v>
      </c>
      <c r="Q44" s="360">
        <v>-88.96004826659</v>
      </c>
      <c r="R44" s="360">
        <v>-85.48506109007</v>
      </c>
      <c r="S44" s="360">
        <v>-57.97830573042</v>
      </c>
      <c r="T44" s="360">
        <v>-39.39405927867</v>
      </c>
      <c r="U44" s="360">
        <v>-52.02870075114</v>
      </c>
      <c r="V44" s="360">
        <v>-19.33814790967</v>
      </c>
      <c r="W44" s="360">
        <v>-0.060128907</v>
      </c>
      <c r="X44" s="360">
        <f>+X40+X42</f>
        <v>-7.35596425045</v>
      </c>
      <c r="Y44" s="360">
        <v>-21.95964235842</v>
      </c>
      <c r="Z44" s="360">
        <f>+Z42+Z40</f>
        <v>-36.7</v>
      </c>
      <c r="AA44" s="360">
        <v>-49.38672326737</v>
      </c>
      <c r="AB44" s="360">
        <v>-64.2656044804685</v>
      </c>
      <c r="AC44" s="360">
        <v>-82.3347318197882</v>
      </c>
      <c r="AD44" s="360">
        <f>+AD40+AD42+AD41</f>
        <v>-95.6057046965888</v>
      </c>
      <c r="AE44" s="360">
        <f>+AE40+AE42+AE41</f>
        <v>-83.411714579887</v>
      </c>
      <c r="AF44" s="360">
        <v>-60.89051052513</v>
      </c>
      <c r="AG44" s="360">
        <v>-37.23450911171</v>
      </c>
      <c r="AH44" s="360">
        <v>-18.30771890452</v>
      </c>
      <c r="AI44" s="360">
        <f>SUMIFS($AI$31:$AI$42,$AI$31:$AI$42,"&lt;0")</f>
        <v>0</v>
      </c>
      <c r="AJ44" s="360">
        <f>SUMIFS($AJ$31:$AJ$42,$AJ$31:$AJ$42,"&lt;0")</f>
        <v>-3.93849015832</v>
      </c>
      <c r="AK44" s="360">
        <f>SUMIFS($AK$31:$AK$42,$AK$31:$AK$42,"&lt;0")</f>
        <v>-100.75789764049</v>
      </c>
    </row>
    <row ht="15" outlineLevel="0" r="45">
      <c r="M45" s="359" t="s">
        <v>728</v>
      </c>
      <c r="N45" s="360">
        <f>+N31+N44</f>
        <v>56.2389039039676</v>
      </c>
      <c r="O45" s="360">
        <f>+O31+O44</f>
        <v>19.411654829334</v>
      </c>
      <c r="P45" s="360">
        <f>+P31+P44</f>
        <v>11.497098575928</v>
      </c>
      <c r="Q45" s="360">
        <f>+Q31+Q44</f>
        <v>-16.3158949037917</v>
      </c>
      <c r="R45" s="360">
        <f>+R31+R44</f>
        <v>-2.37060024099389</v>
      </c>
      <c r="S45" s="360">
        <f>+S31+S44</f>
        <v>22.7000260924298</v>
      </c>
      <c r="T45" s="360">
        <f>+T31+T44</f>
        <v>46.303083318759</v>
      </c>
      <c r="U45" s="360">
        <f>+U31+U44</f>
        <v>39.4274135005728</v>
      </c>
      <c r="V45" s="360">
        <f>+V31+V44</f>
        <v>48.3750056717472</v>
      </c>
      <c r="W45" s="360">
        <v>33.893282090308</v>
      </c>
      <c r="X45" s="360">
        <f>+X31+X44</f>
        <v>57.0431993448664</v>
      </c>
      <c r="Y45" s="360">
        <f>+Y31+Y44</f>
        <v>55.936745812552</v>
      </c>
      <c r="Z45" s="360">
        <f>+Z31+Z44</f>
        <v>51</v>
      </c>
      <c r="AA45" s="360">
        <v>41.017187198243</v>
      </c>
      <c r="AB45" s="360">
        <v>37.1061971704147</v>
      </c>
      <c r="AC45" s="360">
        <v>22.086651092326</v>
      </c>
      <c r="AD45" s="360">
        <f>+AD31+AD44</f>
        <v>-38.3836207301922</v>
      </c>
      <c r="AE45" s="360">
        <f>+AE31+AE44</f>
        <v>-13.0079217984579</v>
      </c>
      <c r="AF45" s="360">
        <v>20.7110461334853</v>
      </c>
      <c r="AG45" s="360">
        <v>54.9628256941951</v>
      </c>
      <c r="AH45" s="360">
        <v>74.2538134708522</v>
      </c>
      <c r="AI45" s="360">
        <f>+AI31+AI44</f>
        <v>126.643272776794</v>
      </c>
      <c r="AJ45" s="360">
        <f>+AJ31+AJ44</f>
        <v>119.315047451582</v>
      </c>
      <c r="AK45" s="360">
        <f>+AK31+AK44</f>
        <v>25.655050157758</v>
      </c>
    </row>
    <row ht="15" outlineLevel="0" r="47">
      <c r="M47" s="355"/>
      <c r="N47" s="356" t="s">
        <v>701</v>
      </c>
      <c r="O47" s="357" t="s">
        <v>702</v>
      </c>
      <c r="P47" s="358" t="s">
        <v>703</v>
      </c>
      <c r="Q47" s="358" t="s">
        <v>704</v>
      </c>
      <c r="R47" s="358" t="s">
        <v>705</v>
      </c>
      <c r="S47" s="358" t="s">
        <v>706</v>
      </c>
      <c r="T47" s="358" t="s">
        <v>707</v>
      </c>
      <c r="U47" s="358" t="s">
        <v>708</v>
      </c>
      <c r="V47" s="358" t="s">
        <v>709</v>
      </c>
      <c r="W47" s="357" t="s">
        <v>710</v>
      </c>
      <c r="X47" s="357" t="s">
        <v>711</v>
      </c>
      <c r="Y47" s="357" t="s">
        <v>712</v>
      </c>
      <c r="Z47" s="357" t="str">
        <f>Z30</f>
        <v>Mar/2019</v>
      </c>
      <c r="AA47" s="357" t="str">
        <f>AA30</f>
        <v>Abr/2019</v>
      </c>
      <c r="AB47" s="357" t="s">
        <v>715</v>
      </c>
      <c r="AC47" s="357" t="s">
        <v>716</v>
      </c>
      <c r="AD47" s="357" t="str">
        <f>+AD30</f>
        <v>Jul/2019</v>
      </c>
      <c r="AE47" s="357" t="str">
        <f>+AE30</f>
        <v>Ago/2019</v>
      </c>
      <c r="AF47" s="357" t="s">
        <v>719</v>
      </c>
      <c r="AG47" s="357" t="str">
        <f>+AG30</f>
        <v>Out/2019</v>
      </c>
      <c r="AH47" s="357" t="str">
        <f>+AH30</f>
        <v>Nov/2019</v>
      </c>
      <c r="AI47" s="357" t="s">
        <v>722</v>
      </c>
      <c r="AJ47" s="357" t="s">
        <v>723</v>
      </c>
      <c r="AK47" s="357" t="str">
        <f>+AK30</f>
        <v>Fev/2020</v>
      </c>
    </row>
    <row ht="15" outlineLevel="0" r="48">
      <c r="M48" s="359" t="s">
        <v>6</v>
      </c>
      <c r="N48" s="370">
        <f>+N49+N50</f>
        <v>56.2389039039676</v>
      </c>
      <c r="O48" s="370">
        <f>+O49+O50</f>
        <v>19.411654829334</v>
      </c>
      <c r="P48" s="370">
        <f>+P49+P50</f>
        <v>11.497098575928</v>
      </c>
      <c r="Q48" s="370">
        <f>+Q49+Q50</f>
        <v>-16.3158949037917</v>
      </c>
      <c r="R48" s="370">
        <f>+R49+R50</f>
        <v>-2.37060024099389</v>
      </c>
      <c r="S48" s="370">
        <f>+S49+S50</f>
        <v>22.7000260924298</v>
      </c>
      <c r="T48" s="370">
        <f>+T49+T50</f>
        <v>46.303083318759</v>
      </c>
      <c r="U48" s="370">
        <f>+U49+U50</f>
        <v>39.4274135005728</v>
      </c>
      <c r="V48" s="370">
        <f>+V49+V50</f>
        <v>48.3750056717472</v>
      </c>
      <c r="W48" s="370">
        <f>+W49+W50</f>
        <v>33.893282090308</v>
      </c>
      <c r="X48" s="370">
        <f>+X49+X50</f>
        <v>57.0431993448664</v>
      </c>
      <c r="Y48" s="370">
        <v>55.9367458125521</v>
      </c>
      <c r="Z48" s="370">
        <f>+Z49+Z50</f>
        <v>51</v>
      </c>
      <c r="AA48" s="370">
        <v>41.017187198243</v>
      </c>
      <c r="AB48" s="370">
        <v>37.1061971704147</v>
      </c>
      <c r="AC48" s="370">
        <v>22.086651092326</v>
      </c>
      <c r="AD48" s="370">
        <f>+AD49+AD50</f>
        <v>-38.3836207301922</v>
      </c>
      <c r="AE48" s="370">
        <f>+AE49+AE50</f>
        <v>-13.0079217984579</v>
      </c>
      <c r="AF48" s="370">
        <f>+AF49+AF50</f>
        <v>20.7110461334853</v>
      </c>
      <c r="AG48" s="370">
        <f>+AG49+AG50</f>
        <v>54.9628256941951</v>
      </c>
      <c r="AH48" s="370">
        <f>+AH49+AH50</f>
        <v>74.2538134708522</v>
      </c>
      <c r="AI48" s="370">
        <f>+AI49+AI50</f>
        <v>126.643272776794</v>
      </c>
      <c r="AJ48" s="370">
        <f>+AJ49+AJ50</f>
        <v>119.315047451582</v>
      </c>
      <c r="AK48" s="370">
        <f>+AK49+AK50</f>
        <v>25.655050157758</v>
      </c>
    </row>
    <row ht="15" outlineLevel="0" r="49">
      <c r="M49" s="359" t="s">
        <v>725</v>
      </c>
      <c r="N49" s="370">
        <f>+N31</f>
        <v>66.7044018077297</v>
      </c>
      <c r="O49" s="370">
        <f>+O31</f>
        <v>81.811405124144</v>
      </c>
      <c r="P49" s="370">
        <f>+P31</f>
        <v>87.217679053508</v>
      </c>
      <c r="Q49" s="370">
        <f>+Q31</f>
        <v>72.6441533627983</v>
      </c>
      <c r="R49" s="370">
        <f>+R31</f>
        <v>83.1144608490761</v>
      </c>
      <c r="S49" s="370">
        <f>+S31</f>
        <v>80.6783318228499</v>
      </c>
      <c r="T49" s="370">
        <f>+T31</f>
        <v>85.697142597429</v>
      </c>
      <c r="U49" s="370">
        <f>+U31</f>
        <v>91.4561142517128</v>
      </c>
      <c r="V49" s="370">
        <f>+V31</f>
        <v>67.7131535814172</v>
      </c>
      <c r="W49" s="370">
        <f>+W31</f>
        <v>33.953410997308</v>
      </c>
      <c r="X49" s="370">
        <f>+X31</f>
        <v>64.3991635953164</v>
      </c>
      <c r="Y49" s="370">
        <v>77.896388170972</v>
      </c>
      <c r="Z49" s="370">
        <f>+Z31</f>
        <v>87.7</v>
      </c>
      <c r="AA49" s="370">
        <v>90.403910465613</v>
      </c>
      <c r="AB49" s="370">
        <v>101.371801650883</v>
      </c>
      <c r="AC49" s="370">
        <v>104.421382912114</v>
      </c>
      <c r="AD49" s="370">
        <f>+AD31</f>
        <v>57.2220839663966</v>
      </c>
      <c r="AE49" s="370">
        <f>+AE31</f>
        <v>70.4037927814291</v>
      </c>
      <c r="AF49" s="370">
        <f>+AF31</f>
        <v>81.6015566586153</v>
      </c>
      <c r="AG49" s="370">
        <f>+AG31</f>
        <v>92.1973348059051</v>
      </c>
      <c r="AH49" s="370">
        <f>+AH31</f>
        <v>92.5615323753722</v>
      </c>
      <c r="AI49" s="370">
        <f>+AI31</f>
        <v>126.643272776794</v>
      </c>
      <c r="AJ49" s="370">
        <f>+AJ31</f>
        <v>123.253537609902</v>
      </c>
      <c r="AK49" s="370">
        <f>+AK31</f>
        <v>126.412947798248</v>
      </c>
    </row>
    <row ht="15" outlineLevel="0" r="50">
      <c r="M50" s="359" t="s">
        <v>729</v>
      </c>
      <c r="N50" s="370">
        <f>+N44</f>
        <v>-10.4654979037621</v>
      </c>
      <c r="O50" s="370">
        <f>+O44</f>
        <v>-62.39975029481</v>
      </c>
      <c r="P50" s="370">
        <f>+P44</f>
        <v>-75.72058047758</v>
      </c>
      <c r="Q50" s="370">
        <f>+Q44</f>
        <v>-88.96004826659</v>
      </c>
      <c r="R50" s="370">
        <f>+R44</f>
        <v>-85.48506109007</v>
      </c>
      <c r="S50" s="370">
        <f>+S44</f>
        <v>-57.97830573042</v>
      </c>
      <c r="T50" s="370">
        <f>+T44</f>
        <v>-39.39405927867</v>
      </c>
      <c r="U50" s="370">
        <f>+U44</f>
        <v>-52.02870075114</v>
      </c>
      <c r="V50" s="370">
        <f>+V44</f>
        <v>-19.33814790967</v>
      </c>
      <c r="W50" s="370">
        <f>+W44</f>
        <v>-0.060128907</v>
      </c>
      <c r="X50" s="370">
        <f>+X44</f>
        <v>-7.35596425045</v>
      </c>
      <c r="Y50" s="370">
        <v>-21.95964235842</v>
      </c>
      <c r="Z50" s="370">
        <f>+Z44</f>
        <v>-36.7</v>
      </c>
      <c r="AA50" s="370">
        <v>-49.38672326737</v>
      </c>
      <c r="AB50" s="370">
        <v>-64.2656044804685</v>
      </c>
      <c r="AC50" s="370">
        <v>-82.3347318197882</v>
      </c>
      <c r="AD50" s="370">
        <f>+AD44</f>
        <v>-95.6057046965888</v>
      </c>
      <c r="AE50" s="370">
        <f>+AE44</f>
        <v>-83.411714579887</v>
      </c>
      <c r="AF50" s="370">
        <f>+AF44</f>
        <v>-60.89051052513</v>
      </c>
      <c r="AG50" s="370">
        <f>+AG44</f>
        <v>-37.23450911171</v>
      </c>
      <c r="AH50" s="370">
        <f>+AH44</f>
        <v>-18.30771890452</v>
      </c>
      <c r="AI50" s="370">
        <f>+AI44</f>
        <v>0</v>
      </c>
      <c r="AJ50" s="370">
        <f>+AJ44</f>
        <v>-3.93849015832</v>
      </c>
      <c r="AK50" s="370">
        <f>+AK44</f>
        <v>-100.75789764049</v>
      </c>
    </row>
    <row ht="15" outlineLevel="0" r="51">
      <c r="M51" s="355" t="s">
        <v>730</v>
      </c>
      <c r="N51" s="364">
        <f>+N41</f>
        <v>-3.73784853470213</v>
      </c>
      <c r="O51" s="364"/>
      <c r="P51" s="364"/>
      <c r="Q51" s="364"/>
      <c r="R51" s="364"/>
      <c r="S51" s="364"/>
      <c r="T51" s="364"/>
      <c r="U51" s="364"/>
      <c r="V51" s="364"/>
      <c r="W51" s="371"/>
      <c r="X51" s="364"/>
      <c r="Y51" s="364"/>
      <c r="Z51" s="364"/>
      <c r="AA51" s="364"/>
      <c r="AB51" s="364">
        <v>-2.06113924792853</v>
      </c>
      <c r="AC51" s="364">
        <v>-5.62414217513819</v>
      </c>
      <c r="AD51" s="364">
        <f>AD41</f>
        <v>-3.93657621972879</v>
      </c>
      <c r="AE51" s="364">
        <f>AE41</f>
        <v>-0.93110181652703</v>
      </c>
      <c r="AF51" s="364"/>
      <c r="AG51" s="364"/>
      <c r="AH51" s="364"/>
      <c r="AI51" s="364"/>
      <c r="AJ51" s="364"/>
      <c r="AK51" s="364"/>
    </row>
    <row ht="15" outlineLevel="0" r="52">
      <c r="M52" s="355" t="s">
        <v>731</v>
      </c>
      <c r="N52" s="364">
        <f>+N40</f>
        <v>-1.36701400037</v>
      </c>
      <c r="O52" s="364">
        <f>+O40</f>
        <v>-5.75872508453</v>
      </c>
      <c r="P52" s="364">
        <f>+P40</f>
        <v>-5.25582052327</v>
      </c>
      <c r="Q52" s="364">
        <f>+Q40</f>
        <v>-4.72296499565</v>
      </c>
      <c r="R52" s="364">
        <f>+R40</f>
        <v>-4.74763102042</v>
      </c>
      <c r="S52" s="364">
        <f>+S40</f>
        <v>-5.3</v>
      </c>
      <c r="T52" s="364">
        <f>+T40</f>
        <v>-6.35640696427</v>
      </c>
      <c r="U52" s="364">
        <f>+U40</f>
        <v>-6.62015208768</v>
      </c>
      <c r="V52" s="364">
        <f>+V40</f>
        <v>-1.68252421939</v>
      </c>
      <c r="W52" s="371">
        <v>-0.0697794886099997</v>
      </c>
      <c r="X52" s="364">
        <f>+X40</f>
        <v>-0.50963635093</v>
      </c>
      <c r="Y52" s="364">
        <v>-0.40237444934</v>
      </c>
      <c r="Z52" s="364">
        <f>+Z40</f>
        <v>-0.9</v>
      </c>
      <c r="AA52" s="364">
        <v>-0.62387675681</v>
      </c>
      <c r="AB52" s="364">
        <v>-0.12601682968</v>
      </c>
      <c r="AC52" s="364">
        <v>-0.62930171308</v>
      </c>
      <c r="AD52" s="364">
        <f>+AD40</f>
        <v>-0.61681867543</v>
      </c>
      <c r="AE52" s="364">
        <f>+AE40</f>
        <v>-0.79249342131</v>
      </c>
      <c r="AF52" s="364">
        <v>-1.97966177229</v>
      </c>
      <c r="AG52" s="364">
        <v>-2.33610228535</v>
      </c>
      <c r="AH52" s="364">
        <f>+AH40</f>
        <v>-1.23732333587</v>
      </c>
      <c r="AI52" s="364">
        <f>+AI40</f>
        <v>4.20891984522242</v>
      </c>
      <c r="AJ52" s="364">
        <f>+AJ40</f>
        <v>-1.96762241522</v>
      </c>
      <c r="AK52" s="364">
        <f>+AK40</f>
        <v>0.0712885220600006</v>
      </c>
    </row>
    <row ht="15" outlineLevel="0" r="53">
      <c r="M53" s="355" t="s">
        <v>732</v>
      </c>
      <c r="N53" s="364">
        <f>+N42</f>
        <v>-5.36063536869</v>
      </c>
      <c r="O53" s="364">
        <f>+O42</f>
        <v>-55.47242032701</v>
      </c>
      <c r="P53" s="364">
        <f>+P42</f>
        <v>-69.36475995431</v>
      </c>
      <c r="Q53" s="364">
        <f>+Q42</f>
        <v>-83.14200795725</v>
      </c>
      <c r="R53" s="364">
        <f>+R42</f>
        <v>-79.62960726589</v>
      </c>
      <c r="S53" s="364">
        <f>+S42</f>
        <v>-51.57830573042</v>
      </c>
      <c r="T53" s="364">
        <f>+T42</f>
        <v>-31.99280289035</v>
      </c>
      <c r="U53" s="364">
        <f>+U42</f>
        <v>-44.42287612272</v>
      </c>
      <c r="V53" s="364">
        <f>+V42</f>
        <v>-16.76747885454</v>
      </c>
      <c r="W53" s="371">
        <v>7.39378208577988</v>
      </c>
      <c r="X53" s="364">
        <f>+X42</f>
        <v>-6.84632789952</v>
      </c>
      <c r="Y53" s="364">
        <v>-21.55726790908</v>
      </c>
      <c r="Z53" s="364">
        <f>+Z42</f>
        <v>-35.8</v>
      </c>
      <c r="AA53" s="364">
        <v>-48.76284651056</v>
      </c>
      <c r="AB53" s="364">
        <v>-62.07844840286</v>
      </c>
      <c r="AC53" s="364">
        <v>-76.08128793157</v>
      </c>
      <c r="AD53" s="364">
        <f>+AD42</f>
        <v>-91.05230980143</v>
      </c>
      <c r="AE53" s="364">
        <f>+AE42</f>
        <v>-81.68811934205</v>
      </c>
      <c r="AF53" s="364">
        <v>-58.91084875284</v>
      </c>
      <c r="AG53" s="364">
        <v>-34.89840682636</v>
      </c>
      <c r="AH53" s="364">
        <f>+AH42</f>
        <v>-17.07039556865</v>
      </c>
      <c r="AI53" s="364">
        <f>+AI42</f>
        <v>0.103889168870001</v>
      </c>
      <c r="AJ53" s="364">
        <f>+AJ42</f>
        <v>-1.9708677431</v>
      </c>
      <c r="AK53" s="364">
        <f>+AK42</f>
        <v>-7.45882859813</v>
      </c>
    </row>
    <row ht="15" outlineLevel="0" r="56">
      <c r="L56" s="372" t="s">
        <v>733</v>
      </c>
      <c r="M56" s="372"/>
      <c r="N56" s="373" t="s">
        <v>701</v>
      </c>
      <c r="O56" s="374" t="s">
        <v>702</v>
      </c>
      <c r="P56" s="375" t="s">
        <v>703</v>
      </c>
      <c r="Q56" s="375" t="s">
        <v>704</v>
      </c>
      <c r="R56" s="375" t="s">
        <v>705</v>
      </c>
      <c r="S56" s="375" t="s">
        <v>706</v>
      </c>
      <c r="T56" s="375" t="s">
        <v>707</v>
      </c>
      <c r="U56" s="375" t="s">
        <v>708</v>
      </c>
      <c r="V56" s="375" t="s">
        <v>709</v>
      </c>
      <c r="W56" s="376" t="s">
        <v>710</v>
      </c>
      <c r="X56" s="377" t="s">
        <v>711</v>
      </c>
      <c r="Y56" s="377" t="s">
        <v>712</v>
      </c>
      <c r="Z56" s="377" t="str">
        <f>Z30</f>
        <v>Mar/2019</v>
      </c>
      <c r="AA56" s="377" t="str">
        <f>AA30</f>
        <v>Abr/2019</v>
      </c>
      <c r="AB56" s="377" t="s">
        <v>715</v>
      </c>
      <c r="AC56" s="377" t="s">
        <v>716</v>
      </c>
      <c r="AD56" s="377" t="str">
        <f>+AD47</f>
        <v>Jul/2019</v>
      </c>
      <c r="AE56" s="377" t="s">
        <v>718</v>
      </c>
      <c r="AF56" s="377" t="s">
        <v>719</v>
      </c>
      <c r="AG56" s="377" t="s">
        <v>734</v>
      </c>
      <c r="AH56" s="377" t="s">
        <v>721</v>
      </c>
      <c r="AI56" s="377" t="s">
        <v>722</v>
      </c>
      <c r="AJ56" s="377" t="s">
        <v>723</v>
      </c>
      <c r="AK56" s="377" t="str">
        <f>+AK47</f>
        <v>Fev/2020</v>
      </c>
    </row>
    <row ht="15" outlineLevel="0" r="57">
      <c r="L57" s="378" t="s">
        <v>6</v>
      </c>
      <c r="M57" s="378"/>
      <c r="N57" s="379">
        <f>+N58+N59</f>
        <v>48.4957324801362</v>
      </c>
      <c r="O57" s="380">
        <f>+O58+O59</f>
        <v>81.811405124144</v>
      </c>
      <c r="P57" s="380">
        <f>+P58+P59</f>
        <v>87.217679053508</v>
      </c>
      <c r="Q57" s="380">
        <f>+Q58+Q59</f>
        <v>72.6441533627983</v>
      </c>
      <c r="R57" s="380">
        <f>+R58+R59</f>
        <v>83.1144608490761</v>
      </c>
      <c r="S57" s="380">
        <f>+S58+S59</f>
        <v>80.6783318228499</v>
      </c>
      <c r="T57" s="380">
        <f>+T58+T59</f>
        <v>85.697142597429</v>
      </c>
      <c r="U57" s="380">
        <f>+U58+U59</f>
        <v>91.4561142517128</v>
      </c>
      <c r="V57" s="380">
        <f>+V58+V59</f>
        <v>67.7131535814172</v>
      </c>
      <c r="W57" s="381">
        <f>+W58+W59</f>
        <v>21.9207317402333</v>
      </c>
      <c r="X57" s="382">
        <f>+X58+X59</f>
        <v>64.3991635953164</v>
      </c>
      <c r="Y57" s="382">
        <v>45.6833941511745</v>
      </c>
      <c r="Z57" s="382">
        <f>+Z58+Z59</f>
        <v>87.7</v>
      </c>
      <c r="AA57" s="382">
        <v>15.0298604237419</v>
      </c>
      <c r="AB57" s="382">
        <v>-27.2180526269562</v>
      </c>
      <c r="AC57" s="382">
        <v>-25.5446525086966</v>
      </c>
      <c r="AD57" s="382">
        <f>+AD58+AD59</f>
        <v>-79.6501486445774</v>
      </c>
      <c r="AE57" s="382">
        <f>+AE58+AE59</f>
        <v>-47.2030745154436</v>
      </c>
      <c r="AF57" s="382">
        <v>-85.7701788365126</v>
      </c>
      <c r="AG57" s="382">
        <v>40.1899864505195</v>
      </c>
      <c r="AH57" s="382">
        <f>+AH58+AH59</f>
        <v>66.2862103859641</v>
      </c>
      <c r="AI57" s="382">
        <f>+AI58+AI59</f>
        <v>126.308376908164</v>
      </c>
      <c r="AJ57" s="382">
        <f>+AJ58+AJ59</f>
        <v>115.531759343469</v>
      </c>
      <c r="AK57" s="382">
        <f>+AK58+AK59</f>
        <v>98.4975280759634</v>
      </c>
    </row>
    <row ht="15" outlineLevel="0" r="58">
      <c r="L58" s="378" t="s">
        <v>725</v>
      </c>
      <c r="M58" s="378"/>
      <c r="N58" s="383">
        <f>+N49</f>
        <v>66.7044018077297</v>
      </c>
      <c r="O58" s="384">
        <f>+O49</f>
        <v>81.811405124144</v>
      </c>
      <c r="P58" s="384">
        <f>+P49</f>
        <v>87.217679053508</v>
      </c>
      <c r="Q58" s="384">
        <f>+Q49</f>
        <v>72.6441533627983</v>
      </c>
      <c r="R58" s="384">
        <f>+R49</f>
        <v>83.1144608490761</v>
      </c>
      <c r="S58" s="384">
        <f>+S49</f>
        <v>80.6783318228499</v>
      </c>
      <c r="T58" s="384">
        <f>+T49</f>
        <v>85.697142597429</v>
      </c>
      <c r="U58" s="384">
        <f>+U49</f>
        <v>91.4561142517128</v>
      </c>
      <c r="V58" s="384">
        <f>+V49</f>
        <v>67.7131535814172</v>
      </c>
      <c r="W58" s="385">
        <f>+W49</f>
        <v>33.953410997308</v>
      </c>
      <c r="X58" s="386">
        <f>+X49</f>
        <v>64.3991635953164</v>
      </c>
      <c r="Y58" s="386">
        <v>77.896388170972</v>
      </c>
      <c r="Z58" s="386">
        <f>+Z49</f>
        <v>87.7</v>
      </c>
      <c r="AA58" s="386">
        <v>90.403910465613</v>
      </c>
      <c r="AB58" s="386">
        <v>101.371801650883</v>
      </c>
      <c r="AC58" s="386">
        <v>104.421382912114</v>
      </c>
      <c r="AD58" s="386">
        <f>+AD49</f>
        <v>57.2220839663966</v>
      </c>
      <c r="AE58" s="386">
        <f>+AE49</f>
        <v>70.4037927814291</v>
      </c>
      <c r="AF58" s="386">
        <v>0</v>
      </c>
      <c r="AG58" s="386">
        <v>92.1973348059051</v>
      </c>
      <c r="AH58" s="386">
        <f>+AH49</f>
        <v>92.5615323753722</v>
      </c>
      <c r="AI58" s="386">
        <f>+AI49</f>
        <v>126.643272776794</v>
      </c>
      <c r="AJ58" s="386">
        <f>+AJ49</f>
        <v>123.253537609902</v>
      </c>
      <c r="AK58" s="386">
        <f>+AK49</f>
        <v>126.412947798248</v>
      </c>
    </row>
    <row ht="15" outlineLevel="0" r="59">
      <c r="L59" s="378" t="s">
        <v>729</v>
      </c>
      <c r="M59" s="378"/>
      <c r="N59" s="383">
        <f>+SUM(N60:N77)-N75</f>
        <v>-18.2086693275935</v>
      </c>
      <c r="O59" s="384">
        <f>+SUM(O60:O77)-O75</f>
        <v>0</v>
      </c>
      <c r="P59" s="384">
        <f>+SUM(P60:P77)-P75</f>
        <v>0</v>
      </c>
      <c r="Q59" s="384">
        <f>+SUM(Q60:Q77)-Q75</f>
        <v>0</v>
      </c>
      <c r="R59" s="384">
        <f>+SUM(R60:R77)-R75</f>
        <v>0</v>
      </c>
      <c r="S59" s="384">
        <f>+SUM(S60:S77)-S75</f>
        <v>0</v>
      </c>
      <c r="T59" s="384">
        <f>+SUM(T60:T77)-T75</f>
        <v>0</v>
      </c>
      <c r="U59" s="384">
        <f>+SUM(U60:U77)-U75</f>
        <v>0</v>
      </c>
      <c r="V59" s="384">
        <f>+SUM(V60:V77)-V75</f>
        <v>0</v>
      </c>
      <c r="W59" s="385">
        <f>+SUM(W60:W77)-W75</f>
        <v>-12.0326792570747</v>
      </c>
      <c r="X59" s="386">
        <f>+SUM(X60:X77)-X75</f>
        <v>0</v>
      </c>
      <c r="Y59" s="386">
        <v>-32.2129940197976</v>
      </c>
      <c r="Z59" s="386">
        <f>SUMIFS($Z$61:$Z$77,$AK$61:$AK$77,"&lt;0")</f>
        <v>0</v>
      </c>
      <c r="AA59" s="386">
        <v>-75.3740500418711</v>
      </c>
      <c r="AB59" s="386">
        <v>-128.589854277839</v>
      </c>
      <c r="AC59" s="386">
        <v>-129.966035420811</v>
      </c>
      <c r="AD59" s="386">
        <f>+SUM(AD60:AD77)-AD75</f>
        <v>-136.872232610974</v>
      </c>
      <c r="AE59" s="386">
        <f>+SUM(AE60:AE77)-AE75</f>
        <v>-117.606867296873</v>
      </c>
      <c r="AF59" s="386">
        <v>-85.7701788365126</v>
      </c>
      <c r="AG59" s="386">
        <v>-52.0073483553856</v>
      </c>
      <c r="AH59" s="386">
        <f>+SUM(AH60:AH77)-AH75</f>
        <v>-26.2753219894081</v>
      </c>
      <c r="AI59" s="386">
        <f>+SUM(AI60:AI77)-AI75</f>
        <v>-0.334895868630097</v>
      </c>
      <c r="AJ59" s="386">
        <f>+SUM(AJ60:AJ77)-AJ75</f>
        <v>-7.7217782664333</v>
      </c>
      <c r="AK59" s="386">
        <f>+SUM(AK60:AK77)-AK75</f>
        <v>-27.9154197222846</v>
      </c>
    </row>
    <row ht="15" hidden="1" outlineLevel="0" r="60">
      <c r="L60" s="387">
        <v>-7</v>
      </c>
      <c r="M60" s="388" t="s">
        <v>735</v>
      </c>
      <c r="N60" s="389">
        <v>-0.00114334934</v>
      </c>
      <c r="O60" s="390"/>
      <c r="P60" s="390"/>
      <c r="Q60" s="390"/>
      <c r="R60" s="390"/>
      <c r="S60" s="390"/>
      <c r="T60" s="390"/>
      <c r="U60" s="390"/>
      <c r="V60" s="390"/>
      <c r="W60" s="391">
        <v>-0.00114334934</v>
      </c>
      <c r="X60" s="392">
        <v>0</v>
      </c>
      <c r="Y60" s="392">
        <v>-0.00114334934</v>
      </c>
      <c r="Z60" s="392"/>
      <c r="AA60" s="392">
        <v>-0.00114334934</v>
      </c>
      <c r="AB60" s="392">
        <v>-0.00114334934</v>
      </c>
      <c r="AC60" s="392">
        <v>0</v>
      </c>
      <c r="AD60" s="392">
        <v>0</v>
      </c>
      <c r="AE60" s="392">
        <v>0</v>
      </c>
      <c r="AF60" s="392">
        <v>0</v>
      </c>
      <c r="AG60" s="392">
        <v>0</v>
      </c>
      <c r="AH60" s="392">
        <v>0</v>
      </c>
      <c r="AI60" s="392">
        <v>0</v>
      </c>
      <c r="AJ60" s="392">
        <v>0</v>
      </c>
      <c r="AK60" s="392">
        <v>0</v>
      </c>
    </row>
    <row ht="15" hidden="1" outlineLevel="0" r="61">
      <c r="L61" s="393" t="s">
        <v>736</v>
      </c>
      <c r="M61" s="394" t="s">
        <v>737</v>
      </c>
      <c r="N61" s="395">
        <v>0</v>
      </c>
      <c r="O61" s="364"/>
      <c r="P61" s="364"/>
      <c r="Q61" s="364"/>
      <c r="R61" s="364"/>
      <c r="S61" s="364"/>
      <c r="T61" s="364"/>
      <c r="U61" s="364"/>
      <c r="V61" s="364"/>
      <c r="W61" s="396">
        <v>-1.3554206699</v>
      </c>
      <c r="X61" s="397">
        <v>0</v>
      </c>
      <c r="Y61" s="397">
        <v>0</v>
      </c>
      <c r="Z61" s="397"/>
      <c r="AA61" s="397">
        <v>0</v>
      </c>
      <c r="AB61" s="397">
        <v>0</v>
      </c>
      <c r="AC61" s="397">
        <v>0</v>
      </c>
      <c r="AD61" s="397">
        <v>0</v>
      </c>
      <c r="AE61" s="397">
        <v>0</v>
      </c>
      <c r="AF61" s="397">
        <v>0</v>
      </c>
      <c r="AG61" s="397">
        <v>0</v>
      </c>
      <c r="AH61" s="397">
        <v>0</v>
      </c>
      <c r="AI61" s="397">
        <v>0</v>
      </c>
      <c r="AJ61" s="397">
        <v>0</v>
      </c>
      <c r="AK61" s="397">
        <v>0</v>
      </c>
    </row>
    <row ht="15" outlineLevel="0" r="62">
      <c r="L62" s="393" t="s">
        <v>75</v>
      </c>
      <c r="M62" s="394" t="s">
        <v>738</v>
      </c>
      <c r="N62" s="395">
        <v>-0.11651210527136</v>
      </c>
      <c r="O62" s="364"/>
      <c r="P62" s="364"/>
      <c r="Q62" s="364"/>
      <c r="R62" s="364"/>
      <c r="S62" s="364"/>
      <c r="T62" s="364"/>
      <c r="U62" s="364"/>
      <c r="V62" s="364"/>
      <c r="W62" s="396">
        <v>-0.116557645479616</v>
      </c>
      <c r="X62" s="397">
        <v>0</v>
      </c>
      <c r="Y62" s="397">
        <v>-0.11655764548</v>
      </c>
      <c r="Z62" s="397"/>
      <c r="AA62" s="397">
        <v>-0.11655764548</v>
      </c>
      <c r="AB62" s="397">
        <v>-0.11655764548</v>
      </c>
      <c r="AC62" s="397">
        <v>-0.11655764548</v>
      </c>
      <c r="AD62" s="397">
        <v>-0.11655764548</v>
      </c>
      <c r="AE62" s="397">
        <v>-0.11655764548</v>
      </c>
      <c r="AF62" s="397">
        <v>-0.11655764548</v>
      </c>
      <c r="AG62" s="397">
        <v>-0.11655764548</v>
      </c>
      <c r="AH62" s="397">
        <v>-0.11655764548</v>
      </c>
      <c r="AI62" s="397">
        <v>-0.116212172233944</v>
      </c>
      <c r="AJ62" s="397">
        <v>-0.11621217224</v>
      </c>
      <c r="AK62" s="397">
        <v>-0.11621217224</v>
      </c>
    </row>
    <row ht="15" hidden="1" outlineLevel="0" r="63">
      <c r="L63" s="393">
        <v>18</v>
      </c>
      <c r="M63" s="394" t="s">
        <v>739</v>
      </c>
      <c r="N63" s="395"/>
      <c r="O63" s="364"/>
      <c r="P63" s="364"/>
      <c r="Q63" s="364"/>
      <c r="R63" s="364"/>
      <c r="S63" s="364"/>
      <c r="T63" s="364"/>
      <c r="U63" s="364"/>
      <c r="V63" s="364"/>
      <c r="W63" s="396">
        <v>0</v>
      </c>
      <c r="X63" s="397">
        <v>0</v>
      </c>
      <c r="Y63" s="397">
        <v>0</v>
      </c>
      <c r="Z63" s="397">
        <v>0</v>
      </c>
      <c r="AA63" s="397">
        <v>0</v>
      </c>
      <c r="AB63" s="397">
        <v>0</v>
      </c>
      <c r="AC63" s="397">
        <v>0</v>
      </c>
      <c r="AD63" s="397">
        <v>0</v>
      </c>
      <c r="AE63" s="397">
        <v>0</v>
      </c>
      <c r="AF63" s="397">
        <v>0</v>
      </c>
      <c r="AG63" s="397">
        <v>0</v>
      </c>
      <c r="AH63" s="397">
        <v>0</v>
      </c>
      <c r="AI63" s="397">
        <v>0</v>
      </c>
      <c r="AJ63" s="397">
        <v>0</v>
      </c>
      <c r="AK63" s="397">
        <v>0</v>
      </c>
    </row>
    <row ht="15" hidden="1" outlineLevel="0" r="64">
      <c r="L64" s="393" t="s">
        <v>20</v>
      </c>
      <c r="M64" s="394" t="s">
        <v>740</v>
      </c>
      <c r="N64" s="395">
        <v>-0.51569792859</v>
      </c>
      <c r="O64" s="364"/>
      <c r="P64" s="364"/>
      <c r="Q64" s="364"/>
      <c r="R64" s="364"/>
      <c r="S64" s="364"/>
      <c r="T64" s="364"/>
      <c r="U64" s="364"/>
      <c r="V64" s="364"/>
      <c r="W64" s="396">
        <v>-0.37244521964</v>
      </c>
      <c r="X64" s="397">
        <v>0</v>
      </c>
      <c r="Y64" s="397">
        <v>-0.25711653656</v>
      </c>
      <c r="Z64" s="397"/>
      <c r="AA64" s="397">
        <v>-0.15949425468</v>
      </c>
      <c r="AB64" s="397">
        <v>-0.09993063484</v>
      </c>
      <c r="AC64" s="397">
        <v>-0.05059975324</v>
      </c>
      <c r="AD64" s="397">
        <v>0</v>
      </c>
      <c r="AE64" s="397">
        <v>0</v>
      </c>
      <c r="AF64" s="397">
        <v>0</v>
      </c>
      <c r="AG64" s="397">
        <v>0</v>
      </c>
      <c r="AH64" s="397">
        <v>0</v>
      </c>
      <c r="AI64" s="397">
        <v>0</v>
      </c>
      <c r="AJ64" s="397">
        <v>0</v>
      </c>
      <c r="AK64" s="397">
        <v>0</v>
      </c>
    </row>
    <row ht="15" hidden="1" outlineLevel="0" r="65">
      <c r="L65" s="393" t="s">
        <v>111</v>
      </c>
      <c r="M65" s="394" t="s">
        <v>741</v>
      </c>
      <c r="N65" s="395">
        <v>-0.46971957282</v>
      </c>
      <c r="O65" s="364"/>
      <c r="P65" s="364"/>
      <c r="Q65" s="364"/>
      <c r="R65" s="364"/>
      <c r="S65" s="364"/>
      <c r="T65" s="364"/>
      <c r="U65" s="364"/>
      <c r="V65" s="364"/>
      <c r="W65" s="396">
        <v>0</v>
      </c>
      <c r="X65" s="397">
        <v>0</v>
      </c>
      <c r="Y65" s="397">
        <v>0</v>
      </c>
      <c r="Z65" s="397"/>
      <c r="AA65" s="397">
        <v>-6.696e-06</v>
      </c>
      <c r="AB65" s="397">
        <v>-6.696e-06</v>
      </c>
      <c r="AC65" s="397">
        <v>0</v>
      </c>
      <c r="AD65" s="397">
        <v>0</v>
      </c>
      <c r="AE65" s="397">
        <v>0</v>
      </c>
      <c r="AF65" s="397">
        <v>0</v>
      </c>
      <c r="AG65" s="397">
        <v>0</v>
      </c>
      <c r="AH65" s="397">
        <v>0</v>
      </c>
      <c r="AI65" s="397">
        <v>0</v>
      </c>
      <c r="AJ65" s="397">
        <v>0</v>
      </c>
      <c r="AK65" s="397">
        <v>0</v>
      </c>
    </row>
    <row ht="15" hidden="1" outlineLevel="0" r="66">
      <c r="L66" s="393" t="s">
        <v>292</v>
      </c>
      <c r="M66" s="394" t="s">
        <v>742</v>
      </c>
      <c r="N66" s="395">
        <v>-0.02087529392</v>
      </c>
      <c r="O66" s="364"/>
      <c r="P66" s="364"/>
      <c r="Q66" s="364"/>
      <c r="R66" s="364"/>
      <c r="S66" s="364"/>
      <c r="T66" s="364"/>
      <c r="U66" s="364"/>
      <c r="V66" s="364"/>
      <c r="W66" s="396">
        <v>-0.00187982706</v>
      </c>
      <c r="X66" s="397">
        <v>0</v>
      </c>
      <c r="Y66" s="397">
        <v>-0.00053424966</v>
      </c>
      <c r="Z66" s="397"/>
      <c r="AA66" s="397">
        <v>-0.00155685377</v>
      </c>
      <c r="AB66" s="397">
        <v>-0.00053354814</v>
      </c>
      <c r="AC66" s="397">
        <v>-0.00054886769</v>
      </c>
      <c r="AD66" s="397">
        <v>-0.00012312677</v>
      </c>
      <c r="AE66" s="397">
        <v>-0.00012007634</v>
      </c>
      <c r="AF66" s="397">
        <v>-0.00011173456</v>
      </c>
      <c r="AG66" s="397">
        <v>-0.00133034418</v>
      </c>
      <c r="AH66" s="397">
        <v>-0.00010528886</v>
      </c>
      <c r="AI66" s="397">
        <v>-1.280081e-05</v>
      </c>
      <c r="AJ66" s="397">
        <v>-4.73106e-06</v>
      </c>
      <c r="AK66" s="397">
        <v>-3.29878e-06</v>
      </c>
    </row>
    <row ht="15" hidden="1" outlineLevel="0" r="67">
      <c r="L67" s="393" t="s">
        <v>144</v>
      </c>
      <c r="M67" s="394" t="s">
        <v>743</v>
      </c>
      <c r="N67" s="395">
        <v>-0.07865303815992</v>
      </c>
      <c r="O67" s="364"/>
      <c r="P67" s="364"/>
      <c r="Q67" s="364"/>
      <c r="R67" s="364"/>
      <c r="S67" s="364"/>
      <c r="T67" s="364"/>
      <c r="U67" s="364"/>
      <c r="V67" s="364"/>
      <c r="W67" s="396">
        <v>-0.329163998412252</v>
      </c>
      <c r="X67" s="397">
        <v>0</v>
      </c>
      <c r="Y67" s="397">
        <v>-0.451126077066355</v>
      </c>
      <c r="Z67" s="397"/>
      <c r="AA67" s="397">
        <v>-0.474069128595167</v>
      </c>
      <c r="AB67" s="397">
        <v>-0.140661207044009</v>
      </c>
      <c r="AC67" s="397">
        <v>-0.136992353037056</v>
      </c>
      <c r="AD67" s="397">
        <v>-0.170542778024703</v>
      </c>
      <c r="AE67" s="397">
        <v>-0.28945270382158</v>
      </c>
      <c r="AF67" s="397">
        <v>-0.267831168341492</v>
      </c>
      <c r="AG67" s="397">
        <v>-0.035612338769892</v>
      </c>
      <c r="AH67" s="397">
        <v>-0.003451426422</v>
      </c>
      <c r="AI67" s="397">
        <v>-0.003451426422</v>
      </c>
      <c r="AJ67" s="397">
        <v>0</v>
      </c>
      <c r="AK67" s="397">
        <v>0</v>
      </c>
    </row>
    <row ht="15" hidden="1" outlineLevel="0" r="68">
      <c r="L68" s="393" t="s">
        <v>150</v>
      </c>
      <c r="M68" s="394" t="s">
        <v>744</v>
      </c>
      <c r="N68" s="395">
        <v>-1.07931336492257</v>
      </c>
      <c r="O68" s="364"/>
      <c r="P68" s="364"/>
      <c r="Q68" s="364"/>
      <c r="R68" s="364"/>
      <c r="S68" s="364"/>
      <c r="T68" s="364"/>
      <c r="U68" s="364"/>
      <c r="V68" s="364"/>
      <c r="W68" s="396">
        <v>0</v>
      </c>
      <c r="X68" s="397">
        <v>0</v>
      </c>
      <c r="Y68" s="397">
        <v>0</v>
      </c>
      <c r="Z68" s="397">
        <v>0</v>
      </c>
      <c r="AA68" s="397">
        <v>0</v>
      </c>
      <c r="AB68" s="397">
        <v>0</v>
      </c>
      <c r="AC68" s="397">
        <v>0</v>
      </c>
      <c r="AD68" s="397">
        <v>0</v>
      </c>
      <c r="AE68" s="397">
        <v>0</v>
      </c>
      <c r="AF68" s="397">
        <v>0</v>
      </c>
      <c r="AG68" s="397">
        <v>0</v>
      </c>
      <c r="AH68" s="397">
        <v>0</v>
      </c>
      <c r="AI68" s="397">
        <v>0</v>
      </c>
      <c r="AJ68" s="397">
        <v>0</v>
      </c>
      <c r="AK68" s="397">
        <v>0</v>
      </c>
    </row>
    <row ht="15" hidden="1" outlineLevel="0" r="69">
      <c r="L69" s="393" t="s">
        <v>156</v>
      </c>
      <c r="M69" s="394" t="s">
        <v>745</v>
      </c>
      <c r="N69" s="395">
        <v>-9.17547916508956</v>
      </c>
      <c r="O69" s="364"/>
      <c r="P69" s="364"/>
      <c r="Q69" s="364"/>
      <c r="R69" s="364"/>
      <c r="S69" s="364"/>
      <c r="T69" s="364"/>
      <c r="U69" s="364"/>
      <c r="V69" s="364"/>
      <c r="W69" s="396">
        <v>0</v>
      </c>
      <c r="X69" s="397">
        <v>0</v>
      </c>
      <c r="Y69" s="397">
        <v>-7.7902499736127</v>
      </c>
      <c r="Z69" s="397"/>
      <c r="AA69" s="397">
        <v>-20.395719625368</v>
      </c>
      <c r="AB69" s="397">
        <v>-25.4406081728801</v>
      </c>
      <c r="AC69" s="397">
        <v>-27.1099995674815</v>
      </c>
      <c r="AD69" s="397">
        <v>-26.3206676508429</v>
      </c>
      <c r="AE69" s="397">
        <v>-22.9663318579407</v>
      </c>
      <c r="AF69" s="397">
        <v>-20.9526706495379</v>
      </c>
      <c r="AG69" s="397">
        <v>-12.6345604201949</v>
      </c>
      <c r="AH69" s="397">
        <v>-5.15878930096968</v>
      </c>
      <c r="AI69" s="397">
        <v>0</v>
      </c>
      <c r="AJ69" s="397">
        <v>0</v>
      </c>
      <c r="AK69" s="397">
        <v>0</v>
      </c>
    </row>
    <row ht="15" outlineLevel="0" r="70">
      <c r="L70" s="393" t="s">
        <v>159</v>
      </c>
      <c r="M70" s="394" t="s">
        <v>746</v>
      </c>
      <c r="N70" s="395">
        <v>-1.36701400037</v>
      </c>
      <c r="O70" s="364"/>
      <c r="P70" s="364"/>
      <c r="Q70" s="364"/>
      <c r="R70" s="364"/>
      <c r="S70" s="364"/>
      <c r="T70" s="364"/>
      <c r="U70" s="364"/>
      <c r="V70" s="364"/>
      <c r="W70" s="396">
        <v>0</v>
      </c>
      <c r="X70" s="397">
        <v>0</v>
      </c>
      <c r="Y70" s="397">
        <v>-22.63997941796</v>
      </c>
      <c r="Z70" s="397"/>
      <c r="AA70" s="397">
        <v>-52.87614964161</v>
      </c>
      <c r="AB70" s="397">
        <v>-66.97777481514</v>
      </c>
      <c r="AC70" s="397">
        <v>-75.58618106262</v>
      </c>
      <c r="AD70" s="397">
        <v>-90.46191585381</v>
      </c>
      <c r="AE70" s="397">
        <v>-82.3073440221</v>
      </c>
      <c r="AF70" s="397">
        <v>-59.82160473775</v>
      </c>
      <c r="AG70" s="397">
        <v>-36.83451956178</v>
      </c>
      <c r="AH70" s="397">
        <v>-19.7024302487</v>
      </c>
      <c r="AI70" s="397">
        <v>0</v>
      </c>
      <c r="AJ70" s="397">
        <v>-5.55043772618</v>
      </c>
      <c r="AK70" s="397">
        <v>-23.88638401879</v>
      </c>
    </row>
    <row ht="15" outlineLevel="0" r="71">
      <c r="L71" s="393" t="s">
        <v>165</v>
      </c>
      <c r="M71" s="394" t="s">
        <v>747</v>
      </c>
      <c r="N71" s="395">
        <v>-1.76336627312</v>
      </c>
      <c r="O71" s="364"/>
      <c r="P71" s="364"/>
      <c r="Q71" s="364"/>
      <c r="R71" s="364"/>
      <c r="S71" s="364"/>
      <c r="T71" s="364"/>
      <c r="U71" s="364"/>
      <c r="V71" s="364"/>
      <c r="W71" s="396">
        <v>0</v>
      </c>
      <c r="X71" s="397">
        <v>0</v>
      </c>
      <c r="Y71" s="397">
        <v>-0.83973643102</v>
      </c>
      <c r="Z71" s="397"/>
      <c r="AA71" s="397">
        <v>-1.29620057038</v>
      </c>
      <c r="AB71" s="397">
        <v>-1.02024325233</v>
      </c>
      <c r="AC71" s="397">
        <v>-1.03151132378</v>
      </c>
      <c r="AD71" s="397">
        <v>-0.79342463804</v>
      </c>
      <c r="AE71" s="397">
        <v>-0.69807650239</v>
      </c>
      <c r="AF71" s="397">
        <v>-1.10298984065</v>
      </c>
      <c r="AG71" s="397">
        <v>-0.86090808411</v>
      </c>
      <c r="AH71" s="397">
        <v>-0.39183004699</v>
      </c>
      <c r="AI71" s="397">
        <v>0</v>
      </c>
      <c r="AJ71" s="397">
        <v>-0.83394833952</v>
      </c>
      <c r="AK71" s="397">
        <v>-1.60304305265</v>
      </c>
    </row>
    <row ht="15" outlineLevel="0" r="72">
      <c r="L72" s="393" t="s">
        <v>204</v>
      </c>
      <c r="M72" s="394" t="s">
        <v>748</v>
      </c>
      <c r="N72" s="395">
        <v>-3.59726909557</v>
      </c>
      <c r="O72" s="364"/>
      <c r="P72" s="364"/>
      <c r="Q72" s="364"/>
      <c r="R72" s="364"/>
      <c r="S72" s="364"/>
      <c r="T72" s="364"/>
      <c r="U72" s="364"/>
      <c r="V72" s="364"/>
      <c r="W72" s="396">
        <v>-0.269062241289999</v>
      </c>
      <c r="X72" s="397">
        <v>0</v>
      </c>
      <c r="Y72" s="397">
        <v>0</v>
      </c>
      <c r="Z72" s="397"/>
      <c r="AA72" s="397">
        <v>0</v>
      </c>
      <c r="AB72" s="397">
        <v>0</v>
      </c>
      <c r="AC72" s="397">
        <v>0</v>
      </c>
      <c r="AD72" s="397">
        <v>0</v>
      </c>
      <c r="AE72" s="397">
        <v>-0.0944169189199998</v>
      </c>
      <c r="AF72" s="397">
        <v>-0.87668808346</v>
      </c>
      <c r="AG72" s="397">
        <v>-1.47551011009</v>
      </c>
      <c r="AH72" s="397">
        <v>-0.84549328888</v>
      </c>
      <c r="AI72" s="397">
        <v>-0.18010130383</v>
      </c>
      <c r="AJ72" s="397">
        <v>-1.1336740757</v>
      </c>
      <c r="AK72" s="397">
        <v>-2.22015980606</v>
      </c>
    </row>
    <row ht="15" hidden="1" outlineLevel="0" r="73">
      <c r="L73" s="393" t="s">
        <v>210</v>
      </c>
      <c r="M73" s="394" t="s">
        <v>749</v>
      </c>
      <c r="N73" s="395">
        <v>0</v>
      </c>
      <c r="O73" s="364"/>
      <c r="P73" s="364"/>
      <c r="Q73" s="364"/>
      <c r="R73" s="364"/>
      <c r="S73" s="364"/>
      <c r="T73" s="364"/>
      <c r="U73" s="364"/>
      <c r="V73" s="364"/>
      <c r="W73" s="396">
        <v>-0.03905063867</v>
      </c>
      <c r="X73" s="397">
        <v>0</v>
      </c>
      <c r="Y73" s="397">
        <v>-0.03905063867</v>
      </c>
      <c r="Z73" s="397"/>
      <c r="AA73" s="397" t="s">
        <v>750</v>
      </c>
      <c r="AB73" s="397">
        <v>0</v>
      </c>
      <c r="AC73" s="397">
        <v>0</v>
      </c>
      <c r="AD73" s="397">
        <v>0</v>
      </c>
      <c r="AE73" s="397">
        <v>0</v>
      </c>
      <c r="AF73" s="397">
        <v>0</v>
      </c>
      <c r="AG73" s="397">
        <v>0</v>
      </c>
      <c r="AH73" s="397">
        <v>0</v>
      </c>
      <c r="AI73" s="397">
        <v>0</v>
      </c>
      <c r="AJ73" s="397">
        <v>0</v>
      </c>
      <c r="AK73" s="397">
        <v>0</v>
      </c>
    </row>
    <row ht="15" hidden="1" outlineLevel="0" r="74">
      <c r="L74" s="393" t="s">
        <v>216</v>
      </c>
      <c r="M74" s="394" t="s">
        <v>751</v>
      </c>
      <c r="N74" s="395">
        <v>0</v>
      </c>
      <c r="O74" s="364"/>
      <c r="P74" s="364"/>
      <c r="Q74" s="364"/>
      <c r="R74" s="364"/>
      <c r="S74" s="364"/>
      <c r="T74" s="364"/>
      <c r="U74" s="364"/>
      <c r="V74" s="364"/>
      <c r="W74" s="396">
        <v>0</v>
      </c>
      <c r="X74" s="397">
        <v>0</v>
      </c>
      <c r="Y74" s="397"/>
      <c r="Z74" s="397"/>
      <c r="AA74" s="397"/>
      <c r="AB74" s="397">
        <v>-7.52831568077</v>
      </c>
      <c r="AC74" s="397">
        <v>-5.93252150068</v>
      </c>
      <c r="AD74" s="397">
        <v>-3.86839364051</v>
      </c>
      <c r="AE74" s="397">
        <v>-2.05058918933</v>
      </c>
      <c r="AF74" s="397">
        <v>-0.23883389659</v>
      </c>
      <c r="AG74" s="397">
        <v>0</v>
      </c>
      <c r="AH74" s="397">
        <v>0</v>
      </c>
      <c r="AI74" s="397">
        <v>0</v>
      </c>
      <c r="AJ74" s="397">
        <v>0</v>
      </c>
      <c r="AK74" s="397">
        <v>0</v>
      </c>
    </row>
    <row ht="15" hidden="1" outlineLevel="0" r="75">
      <c r="L75" s="398" t="s">
        <v>228</v>
      </c>
      <c r="M75" s="394" t="s">
        <v>752</v>
      </c>
      <c r="N75" s="395">
        <v>-1.34695259142907</v>
      </c>
      <c r="O75" s="364"/>
      <c r="P75" s="364"/>
      <c r="Q75" s="364"/>
      <c r="R75" s="364"/>
      <c r="S75" s="364"/>
      <c r="T75" s="364"/>
      <c r="U75" s="364"/>
      <c r="V75" s="364"/>
      <c r="W75" s="396">
        <v>0</v>
      </c>
      <c r="X75" s="397">
        <v>0</v>
      </c>
      <c r="Y75" s="397">
        <v>-18.47846059762</v>
      </c>
      <c r="Z75" s="397"/>
      <c r="AA75" s="397">
        <v>-33.57612963333</v>
      </c>
      <c r="AB75" s="397">
        <v>-13.69306778873</v>
      </c>
      <c r="AC75" s="397">
        <v>-16.18051779715</v>
      </c>
      <c r="AD75" s="397">
        <v>-35.26197063223</v>
      </c>
      <c r="AE75" s="397">
        <v>-22.19566660237</v>
      </c>
      <c r="AF75" s="397">
        <v>-17.20602717605</v>
      </c>
      <c r="AG75" s="397">
        <v>-30.5031293079</v>
      </c>
      <c r="AH75" s="397">
        <v>-19.75459205739</v>
      </c>
      <c r="AI75" s="397">
        <v>0</v>
      </c>
      <c r="AJ75" s="397">
        <v>0</v>
      </c>
      <c r="AK75" s="397">
        <v>-18.35187933172</v>
      </c>
    </row>
    <row ht="15" outlineLevel="0" r="76">
      <c r="L76" s="393" t="s">
        <v>753</v>
      </c>
      <c r="M76" s="394" t="s">
        <v>754</v>
      </c>
      <c r="N76" s="395">
        <v>-0.0236261404201201</v>
      </c>
      <c r="O76" s="364"/>
      <c r="P76" s="364"/>
      <c r="Q76" s="364"/>
      <c r="R76" s="364"/>
      <c r="S76" s="364"/>
      <c r="T76" s="364"/>
      <c r="U76" s="364"/>
      <c r="V76" s="364"/>
      <c r="W76" s="396">
        <v>-0.0612733455676327</v>
      </c>
      <c r="X76" s="397">
        <v>0</v>
      </c>
      <c r="Y76" s="397">
        <v>-0.0774997004285104</v>
      </c>
      <c r="Z76" s="397"/>
      <c r="AA76" s="397">
        <v>-0.053152276647954</v>
      </c>
      <c r="AB76" s="397">
        <v>-0.044777011917613</v>
      </c>
      <c r="AC76" s="397">
        <v>-0.037123425487684</v>
      </c>
      <c r="AD76" s="397">
        <v>-0.0016357135627358</v>
      </c>
      <c r="AE76" s="397">
        <v>0</v>
      </c>
      <c r="AF76" s="397">
        <v>-0.0520149958766158</v>
      </c>
      <c r="AG76" s="397">
        <v>-0.0483498507807932</v>
      </c>
      <c r="AH76" s="397">
        <v>0</v>
      </c>
      <c r="AI76" s="397">
        <v>-0.0351181653341534</v>
      </c>
      <c r="AJ76" s="397">
        <v>-0.0875012217333055</v>
      </c>
      <c r="AK76" s="397">
        <v>-0.0896173737646129</v>
      </c>
    </row>
    <row ht="15" outlineLevel="0" r="77">
      <c r="B77" s="399">
        <f>+C2/1000000000</f>
        <v>126.412947798248</v>
      </c>
      <c r="L77" s="400" t="s">
        <v>755</v>
      </c>
      <c r="M77" s="401" t="s">
        <v>756</v>
      </c>
      <c r="N77" s="402">
        <v>0</v>
      </c>
      <c r="O77" s="403"/>
      <c r="P77" s="403"/>
      <c r="Q77" s="403"/>
      <c r="R77" s="403"/>
      <c r="S77" s="403"/>
      <c r="T77" s="403"/>
      <c r="U77" s="403"/>
      <c r="V77" s="403"/>
      <c r="W77" s="404">
        <v>-9.48668232171517</v>
      </c>
      <c r="X77" s="405">
        <v>0</v>
      </c>
      <c r="Y77" s="405">
        <v>0</v>
      </c>
      <c r="Z77" s="405"/>
      <c r="AA77" s="405">
        <v>0</v>
      </c>
      <c r="AB77" s="405">
        <v>-27.2193022639577</v>
      </c>
      <c r="AC77" s="405">
        <v>-19.9639999213145</v>
      </c>
      <c r="AD77" s="405">
        <v>-15.1389715639336</v>
      </c>
      <c r="AE77" s="405">
        <v>-9.08397838055046</v>
      </c>
      <c r="AF77" s="405">
        <v>-2.34087608426663</v>
      </c>
      <c r="AG77" s="405">
        <v>0</v>
      </c>
      <c r="AH77" s="405">
        <v>-0.0566647431064003</v>
      </c>
      <c r="AI77" s="405">
        <v>0</v>
      </c>
      <c r="AJ77" s="405">
        <v>0</v>
      </c>
      <c r="AK77" s="405">
        <v>0</v>
      </c>
    </row>
    <row ht="15" outlineLevel="0" r="78">
      <c r="C78" s="406">
        <f>+C3/1000000000</f>
        <v>1132.84206306182</v>
      </c>
      <c r="D78" s="406"/>
    </row>
    <row ht="15" outlineLevel="0" r="79">
      <c r="C79" s="406">
        <f>+C4/1000000000</f>
        <v>243.98536996475</v>
      </c>
      <c r="D79" s="406"/>
    </row>
    <row ht="15" outlineLevel="0" r="80">
      <c r="C80" s="406">
        <f>+C5/1000000000</f>
        <v>10.38417180043</v>
      </c>
      <c r="D80" s="406"/>
    </row>
    <row ht="15" outlineLevel="0" r="81">
      <c r="C81" s="406">
        <f>+C7/1000000000</f>
        <v>27.05986774638</v>
      </c>
      <c r="D81" s="406"/>
    </row>
    <row ht="15" outlineLevel="0" r="82">
      <c r="C82" s="406">
        <f>+C9/1000000000</f>
        <v>13.5308846756637</v>
      </c>
      <c r="D82" s="406"/>
    </row>
    <row ht="15" outlineLevel="0" r="83">
      <c r="C83" s="406">
        <f>+C8/1000000000</f>
        <v>13.9071540494702</v>
      </c>
      <c r="D83" s="406"/>
    </row>
    <row ht="15" outlineLevel="0" r="84">
      <c r="C84" s="406">
        <f>+C13/1000000000</f>
        <v>-93.29906904236</v>
      </c>
      <c r="D84" s="406"/>
    </row>
    <row ht="15" outlineLevel="0" r="85">
      <c r="C85" s="406">
        <f>+C10/1000000000</f>
        <v>49.4528766312498</v>
      </c>
      <c r="D85" s="406"/>
    </row>
    <row ht="15" outlineLevel="0" r="86">
      <c r="C86" s="406">
        <f>+C11/1000000000</f>
        <v>0.0712885220600006</v>
      </c>
      <c r="D86" s="406"/>
    </row>
    <row ht="15" outlineLevel="0" r="87">
      <c r="C87" s="406">
        <f>+C6/1000000000</f>
        <v>23.1558926046842</v>
      </c>
      <c r="D87" s="406"/>
    </row>
    <row ht="15" outlineLevel="0" r="88">
      <c r="C88" s="406">
        <f>+C12/1000000000</f>
        <v>-7.45882859813</v>
      </c>
      <c r="D88" s="406"/>
    </row>
    <row ht="15" outlineLevel="0" r="89">
      <c r="E89" s="399">
        <f>+C14/1000000000</f>
        <v>1540.04461921427</v>
      </c>
    </row>
  </sheetData>
  <mergeCells count="4">
    <mergeCell ref="L56:M56"/>
    <mergeCell ref="L57:M57"/>
    <mergeCell ref="L58:M58"/>
    <mergeCell ref="L59:M59"/>
  </mergeCells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00B050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2"/>
  <cols>
    <col min="1" max="1" width="46.71" style="407" customWidth="1"/>
    <col min="2" max="2" width="23.35" style="407" customWidth="1"/>
    <col min="3" max="3" width="15.12" style="407" customWidth="1"/>
    <col min="4" max="5" width="8.64" style="407" customWidth="1"/>
    <col min="6" max="6" width="39.96" style="407" customWidth="1"/>
    <col min="7" max="7" width="12.15" style="407" customWidth="1"/>
    <col min="8" max="8" width="11.74" style="407" customWidth="1"/>
    <col min="9" max="16" width="9.18" style="407" customWidth="1"/>
    <col min="17" max="17" width="1.89" style="407" customWidth="1"/>
    <col min="18" max="19" width="2.3" style="407" customWidth="1"/>
    <col min="20" max="20" width="8.64" style="407" customWidth="1"/>
    <col min="21" max="21" width="12.69" style="407" customWidth="1"/>
    <col min="22" max="22" width="15.53" style="407" customWidth="1"/>
    <col min="23" max="259" width="8.64" style="407" customWidth="1"/>
    <col min="260" max="260" width="46.71" style="407" customWidth="1"/>
    <col min="261" max="261" width="11.52" style="407" hidden="1" customWidth="1"/>
    <col min="262" max="262" width="12.42" style="407" customWidth="1"/>
    <col min="263" max="515" width="8.64" style="407" customWidth="1"/>
    <col min="516" max="516" width="46.71" style="407" customWidth="1"/>
    <col min="517" max="517" width="11.52" style="407" hidden="1" customWidth="1"/>
    <col min="518" max="518" width="12.42" style="407" customWidth="1"/>
    <col min="519" max="771" width="8.64" style="407" customWidth="1"/>
    <col min="772" max="772" width="46.71" style="407" customWidth="1"/>
    <col min="773" max="773" width="11.52" style="407" hidden="1" customWidth="1"/>
    <col min="774" max="774" width="12.42" style="407" customWidth="1"/>
    <col min="775" max="1025" width="8.64" style="407" customWidth="1"/>
  </cols>
  <sheetData>
    <row ht="11.25" customHeight="1" outlineLevel="0" r="1">
      <c r="A1" s="408" t="s">
        <v>757</v>
      </c>
      <c r="B1" s="408"/>
    </row>
    <row ht="11.25" customHeight="1" outlineLevel="0" r="2">
      <c r="A2" s="407" t="s">
        <v>758</v>
      </c>
    </row>
    <row ht="11.25" customHeight="1" outlineLevel="0" r="3">
      <c r="A3" s="407" t="str">
        <f>"                     "&amp;com.microsoft.single([15]Anexo_2!$A$5:$M$5)</f>
        <v>                     JANEIRO A SETEMBRO DE 2021</v>
      </c>
    </row>
    <row ht="11.25" customHeight="1" outlineLevel="0" r="4">
      <c r="A4" s="409"/>
      <c r="B4" s="409"/>
      <c r="C4" s="410"/>
      <c r="G4" s="411">
        <v>6</v>
      </c>
      <c r="H4" s="411">
        <v>7</v>
      </c>
      <c r="I4" s="411">
        <v>8</v>
      </c>
      <c r="J4" s="411">
        <v>9</v>
      </c>
      <c r="K4" s="411">
        <v>10</v>
      </c>
      <c r="L4" s="411">
        <v>11</v>
      </c>
      <c r="M4" s="411">
        <v>12</v>
      </c>
      <c r="N4" s="411">
        <v>13</v>
      </c>
      <c r="O4" s="411">
        <v>14</v>
      </c>
      <c r="P4" s="411">
        <v>15</v>
      </c>
    </row>
    <row ht="11.25" customHeight="1" outlineLevel="0" r="5">
      <c r="A5" s="409" t="s">
        <v>759</v>
      </c>
      <c r="B5" s="409"/>
      <c r="C5" s="412" t="s">
        <v>760</v>
      </c>
      <c r="F5" s="413" t="s">
        <v>761</v>
      </c>
      <c r="G5" s="414" t="s">
        <v>762</v>
      </c>
      <c r="H5" s="414"/>
      <c r="I5" s="414"/>
      <c r="J5" s="414"/>
      <c r="K5" s="414"/>
      <c r="L5" s="414"/>
      <c r="M5" s="414"/>
      <c r="N5" s="414"/>
      <c r="O5" s="414"/>
      <c r="P5" s="414"/>
    </row>
    <row ht="13.8" outlineLevel="0" r="6">
      <c r="A6" s="415" t="s">
        <v>763</v>
      </c>
      <c r="B6" s="416" t="s">
        <v>764</v>
      </c>
      <c r="C6" s="417" t="s">
        <v>765</v>
      </c>
      <c r="F6" s="413"/>
      <c r="G6" s="414">
        <v>2012</v>
      </c>
      <c r="H6" s="414">
        <v>2013</v>
      </c>
      <c r="I6" s="414">
        <v>2014</v>
      </c>
      <c r="J6" s="414">
        <v>2015</v>
      </c>
      <c r="K6" s="414">
        <v>2016</v>
      </c>
      <c r="L6" s="414">
        <v>2017</v>
      </c>
      <c r="M6" s="414">
        <v>2018</v>
      </c>
      <c r="N6" s="414">
        <v>2019</v>
      </c>
      <c r="O6" s="414">
        <v>2020</v>
      </c>
      <c r="P6" s="414">
        <v>2021</v>
      </c>
    </row>
    <row ht="13.8" outlineLevel="0" r="7">
      <c r="A7" s="418" t="s">
        <v>761</v>
      </c>
      <c r="B7" s="419">
        <f>+[8]Tabela_1!E24</f>
        <v>82117623.0615699</v>
      </c>
      <c r="C7" s="420">
        <f>'[8]Tabela_1-A'!$C7</f>
        <v>701118422.51889</v>
      </c>
      <c r="F7" s="413"/>
      <c r="G7" s="414"/>
      <c r="H7" s="414"/>
      <c r="I7" s="414"/>
      <c r="J7" s="414"/>
      <c r="K7" s="414"/>
      <c r="L7" s="414"/>
      <c r="M7" s="414"/>
      <c r="N7" s="414"/>
      <c r="O7" s="414"/>
      <c r="P7" s="414"/>
      <c r="V7" s="421">
        <f>DATEVALUE(CONCATENATE(LEFT([8]Tab_Dinâmica!$B$2,3),"/",W7))</f>
        <v>44409</v>
      </c>
      <c r="W7" s="407">
        <f>MAX(G6:S6)</f>
        <v>2021</v>
      </c>
    </row>
    <row ht="13.8" outlineLevel="0" r="8">
      <c r="A8" s="422" t="s">
        <v>766</v>
      </c>
      <c r="B8" s="423"/>
      <c r="C8" s="424">
        <f>'[8]Tabela_1-A'!$C8</f>
        <v>283217577.76267</v>
      </c>
      <c r="F8" s="223" t="s">
        <v>767</v>
      </c>
      <c r="G8" s="425">
        <f>VLOOKUP("Receitas do RGPS",[8]Tab_Dinâmica!$A$1:$O$35,G$4,0)</f>
        <v>173.20358178025</v>
      </c>
      <c r="H8" s="425">
        <f>VLOOKUP("Receitas do RGPS",[8]Tab_Dinâmica!$A$1:$O$35,H$4,0)</f>
        <v>191.75286313486</v>
      </c>
      <c r="I8" s="425">
        <f>VLOOKUP("Receitas do RGPS",[8]Tab_Dinâmica!$A$1:$O$35,I$4,0)</f>
        <v>212.0594521338</v>
      </c>
      <c r="J8" s="425">
        <f>VLOOKUP("Receitas do RGPS",[8]Tab_Dinâmica!$A$1:$O$35,J$4,0)</f>
        <v>224.98897761759</v>
      </c>
      <c r="K8" s="425">
        <f>VLOOKUP("Receitas do RGPS",[8]Tab_Dinâmica!$A$1:$O$35,K$4,0)</f>
        <v>230.63441330277</v>
      </c>
      <c r="L8" s="425">
        <f>VLOOKUP("Receitas do RGPS",[8]Tab_Dinâmica!$A$1:$O$35,L$4,0)</f>
        <v>240.47514356457</v>
      </c>
      <c r="M8" s="425">
        <f>VLOOKUP("Receitas do RGPS",[8]Tab_Dinâmica!$A$1:$O$35,M$4,0)</f>
        <v>247.82124189416</v>
      </c>
      <c r="N8" s="425">
        <f>VLOOKUP("Receitas do RGPS",[8]Tab_Dinâmica!$A$1:$O$35,N$4,0)</f>
        <v>262.99381800053</v>
      </c>
      <c r="O8" s="425">
        <f>VLOOKUP("Receitas do RGPS",[8]Tab_Dinâmica!$A$1:$O$35,O$4,0)</f>
        <v>235.88257149539</v>
      </c>
      <c r="P8" s="425">
        <f>C8/1000000</f>
        <v>283.21757776267</v>
      </c>
    </row>
    <row ht="13.8" outlineLevel="0" r="9">
      <c r="A9" s="422" t="s">
        <v>768</v>
      </c>
      <c r="B9" s="423"/>
      <c r="C9" s="426">
        <f>'[8]Tabela_1-A'!$C9</f>
        <v>25440940.14264</v>
      </c>
      <c r="F9" s="223" t="s">
        <v>769</v>
      </c>
      <c r="G9" s="425">
        <f>VLOOKUP("Receitas do RPPS (exceto FCDF)",[8]Tab_Dinâmica!$A$1:$O$35,G$4,0)+VLOOKUP("Receitas RPPS (FCDF)",[8]Tab_Dinâmica!$A$1:$O$35,G$4,0)+VLOOKUP("Receitas de Pensões Militares (FCDF)",[8]Tab_Dinâmica!$A$1:$O$35,G$4,0)</f>
        <v>14.08973776713</v>
      </c>
      <c r="H9" s="425">
        <f>VLOOKUP("Receitas do RPPS (exceto FCDF)",[8]Tab_Dinâmica!$A$1:$O$35,H$4,0)+VLOOKUP("Receitas RPPS (FCDF)",[8]Tab_Dinâmica!$A$1:$O$35,H$4,0)+VLOOKUP("Receitas de Pensões Militares (FCDF)",[8]Tab_Dinâmica!$A$1:$O$35,H$4,0)</f>
        <v>15.21773902694</v>
      </c>
      <c r="I9" s="425">
        <f>VLOOKUP("Receitas do RPPS (exceto FCDF)",[8]Tab_Dinâmica!$A$1:$O$35,I$4,0)+VLOOKUP("Receitas RPPS (FCDF)",[8]Tab_Dinâmica!$A$1:$O$35,I$4,0)+VLOOKUP("Receitas de Pensões Militares (FCDF)",[8]Tab_Dinâmica!$A$1:$O$35,I$4,0)</f>
        <v>16.58399302316</v>
      </c>
      <c r="J9" s="425">
        <f>VLOOKUP("Receitas do RPPS (exceto FCDF)",[8]Tab_Dinâmica!$A$1:$O$35,J$4,0)+VLOOKUP("Receitas RPPS (FCDF)",[8]Tab_Dinâmica!$A$1:$O$35,J$4,0)+VLOOKUP("Receitas de Pensões Militares (FCDF)",[8]Tab_Dinâmica!$A$1:$O$35,J$4,0)</f>
        <v>18.11021500593</v>
      </c>
      <c r="K9" s="425">
        <f>VLOOKUP("Receitas do RPPS (exceto FCDF)",[8]Tab_Dinâmica!$A$1:$O$35,K$4,0)+VLOOKUP("Receitas RPPS (FCDF)",[8]Tab_Dinâmica!$A$1:$O$35,K$4,0)+VLOOKUP("Receitas de Pensões Militares (FCDF)",[8]Tab_Dinâmica!$A$1:$O$35,K$4,0)</f>
        <v>18.28133361419</v>
      </c>
      <c r="L9" s="425">
        <f>VLOOKUP("Receitas do RPPS (exceto FCDF)",[8]Tab_Dinâmica!$A$1:$O$35,L$4,0)+VLOOKUP("Receitas RPPS (FCDF)",[8]Tab_Dinâmica!$A$1:$O$35,L$4,0)+VLOOKUP("Receitas de Pensões Militares (FCDF)",[8]Tab_Dinâmica!$A$1:$O$35,L$4,0)</f>
        <v>20.81128468515</v>
      </c>
      <c r="M9" s="425">
        <f>VLOOKUP("Receitas do RPPS (exceto FCDF)",[8]Tab_Dinâmica!$A$1:$O$35,M$4,0)+VLOOKUP("Receitas RPPS (FCDF)",[8]Tab_Dinâmica!$A$1:$O$35,M$4,0)+VLOOKUP("Receitas de Pensões Militares (FCDF)",[8]Tab_Dinâmica!$A$1:$O$35,M$4,0)</f>
        <v>20.85100487037</v>
      </c>
      <c r="N9" s="425">
        <f>VLOOKUP("Receitas do RPPS (exceto FCDF)",[8]Tab_Dinâmica!$A$1:$O$35,N$4,0)+VLOOKUP("Receitas RPPS (FCDF)",[8]Tab_Dinâmica!$A$1:$O$35,N$4,0)+VLOOKUP("Receitas de Pensões Militares (FCDF)",[8]Tab_Dinâmica!$A$1:$O$35,N$4,0)</f>
        <v>20.91166864453</v>
      </c>
      <c r="O9" s="425">
        <f>VLOOKUP("Receitas do RPPS (exceto FCDF)",[8]Tab_Dinâmica!$A$1:$O$35,O$4,0)+VLOOKUP("Receitas RPPS (FCDF)",[8]Tab_Dinâmica!$A$1:$O$35,O$4,0)+VLOOKUP("Receitas de Pensões Militares (FCDF)",[8]Tab_Dinâmica!$A$1:$O$35,O$4,0)</f>
        <v>24.06724868391</v>
      </c>
      <c r="P9" s="425">
        <f>C9/1000000</f>
        <v>25.44094014264</v>
      </c>
    </row>
    <row ht="13.8" outlineLevel="0" r="10">
      <c r="A10" s="422" t="s">
        <v>770</v>
      </c>
      <c r="B10" s="423"/>
      <c r="C10" s="426">
        <f>'[8]Tabela_1-A'!$C10</f>
        <v>5396958.49222</v>
      </c>
      <c r="D10" s="408"/>
      <c r="F10" s="223" t="s">
        <v>771</v>
      </c>
      <c r="G10" s="425">
        <f>VLOOKUP("Receitas de Pensões Militares (FFAA)",[8]Tab_Dinâmica!$A$1:$O$35,G$4,0)</f>
        <v>1.33385623029</v>
      </c>
      <c r="H10" s="425">
        <f>VLOOKUP("Receitas de Pensões Militares (FFAA)",[8]Tab_Dinâmica!$A$1:$O$35,H$4,0)</f>
        <v>1.38894713753</v>
      </c>
      <c r="I10" s="425">
        <f>VLOOKUP("Receitas de Pensões Militares (FFAA)",[8]Tab_Dinâmica!$A$1:$O$35,I$4,0)</f>
        <v>1.53059023306</v>
      </c>
      <c r="J10" s="425">
        <f>VLOOKUP("Receitas de Pensões Militares (FFAA)",[8]Tab_Dinâmica!$A$1:$O$35,J$4,0)</f>
        <v>1.75263411522</v>
      </c>
      <c r="K10" s="425">
        <f>VLOOKUP("Receitas de Pensões Militares (FFAA)",[8]Tab_Dinâmica!$A$1:$O$35,K$4,0)</f>
        <v>1.82840608677</v>
      </c>
      <c r="L10" s="425">
        <f>VLOOKUP("Receitas de Pensões Militares (FFAA)",[8]Tab_Dinâmica!$A$1:$O$35,L$4,0)</f>
        <v>2.16128329363</v>
      </c>
      <c r="M10" s="425">
        <f>VLOOKUP("Receitas de Pensões Militares (FFAA)",[8]Tab_Dinâmica!$A$1:$O$35,M$4,0)</f>
        <v>1.52376701099</v>
      </c>
      <c r="N10" s="425">
        <f>VLOOKUP("Receitas de Pensões Militares (FFAA)",[8]Tab_Dinâmica!$A$1:$O$35,N$4,0)</f>
        <v>1.62871979877</v>
      </c>
      <c r="O10" s="425">
        <f>VLOOKUP("Receitas de Pensões Militares (FFAA)",[8]Tab_Dinâmica!$A$1:$O$35,O$4,0)</f>
        <v>4.00077038915</v>
      </c>
      <c r="P10" s="425">
        <f>C10/1000000</f>
        <v>5.39695849222</v>
      </c>
    </row>
    <row ht="13.8" outlineLevel="0" r="11">
      <c r="A11" s="427" t="s">
        <v>772</v>
      </c>
      <c r="B11" s="428"/>
      <c r="C11" s="429">
        <f>'[8]Tabela_1-A'!$C11</f>
        <v>387062946.12136</v>
      </c>
      <c r="F11" s="223" t="s">
        <v>773</v>
      </c>
      <c r="G11" s="425">
        <f>VLOOKUP("Demais (COFINS, CSLL e Outras)",[8]Tab_Dinâmica!$A$1:$O$35,G$4,0)</f>
        <v>153.74062152749</v>
      </c>
      <c r="H11" s="425">
        <f>VLOOKUP("Demais (COFINS, CSLL e Outras)",[8]Tab_Dinâmica!$A$1:$O$35,H$4,0)</f>
        <v>162.31444112413</v>
      </c>
      <c r="I11" s="425">
        <f>VLOOKUP("Demais (COFINS, CSLL e Outras)",[8]Tab_Dinâmica!$A$1:$O$35,I$4,0)</f>
        <v>172.70150858413</v>
      </c>
      <c r="J11" s="425">
        <f>VLOOKUP("Demais (COFINS, CSLL e Outras)",[8]Tab_Dinâmica!$A$1:$O$35,J$4,0)</f>
        <v>179.28705703158</v>
      </c>
      <c r="K11" s="425">
        <f>VLOOKUP("Demais (COFINS, CSLL e Outras)",[8]Tab_Dinâmica!$A$1:$O$35,K$4,0)</f>
        <v>235.04270716465</v>
      </c>
      <c r="L11" s="425">
        <f>VLOOKUP("Demais (COFINS, CSLL e Outras)",[8]Tab_Dinâmica!$A$1:$O$35,L$4,0)</f>
        <v>167.01786524569</v>
      </c>
      <c r="M11" s="425">
        <f>VLOOKUP("Demais (COFINS, CSLL e Outras)",[8]Tab_Dinâmica!$A$1:$O$35,M$4,0)</f>
        <v>190.61154989861</v>
      </c>
      <c r="N11" s="425">
        <f>VLOOKUP("Demais (COFINS, CSLL e Outras)",[8]Tab_Dinâmica!$A$1:$O$35,N$4,0)</f>
        <v>195.24512648643</v>
      </c>
      <c r="O11" s="425">
        <f>VLOOKUP("Demais (COFINS, CSLL e Outras)",[8]Tab_Dinâmica!$A$1:$O$35,O$4,0)</f>
        <v>221.98030501724</v>
      </c>
      <c r="P11" s="425">
        <f>C11/1000000</f>
        <v>387.06294612136</v>
      </c>
    </row>
    <row ht="13.8" outlineLevel="0" r="12">
      <c r="A12" s="418" t="s">
        <v>774</v>
      </c>
      <c r="B12" s="430">
        <f>+'[8]Tabela_1-A'!C115</f>
        <v>0</v>
      </c>
      <c r="C12" s="431">
        <f>com.microsoft.single('https://tesouro.sharepoint.com/sites/GEINF/Documentos Compartilhados/General/Teste/Tabela 1 Seguridade.xlsm'#$$dru)</f>
        <v>154013.0111</v>
      </c>
      <c r="F12" s="432" t="s">
        <v>775</v>
      </c>
      <c r="G12" s="433">
        <f>SUM(G8:G11)</f>
        <v>342.36779730516</v>
      </c>
      <c r="H12" s="433">
        <f>SUM(H8:H11)</f>
        <v>370.67399042346</v>
      </c>
      <c r="I12" s="433">
        <f>SUM(I8:I11)</f>
        <v>402.87554397415</v>
      </c>
      <c r="J12" s="433">
        <f>SUM(J8:J11)</f>
        <v>424.13888377032</v>
      </c>
      <c r="K12" s="433">
        <f>SUM(K8:K11)</f>
        <v>485.78686016838</v>
      </c>
      <c r="L12" s="433">
        <f>SUM(L8:L11)</f>
        <v>430.46557678904</v>
      </c>
      <c r="M12" s="433">
        <f>SUM(M8:M11)</f>
        <v>460.80756367413</v>
      </c>
      <c r="N12" s="433">
        <f>SUM(N8:N11)</f>
        <v>480.77933293026</v>
      </c>
      <c r="O12" s="433">
        <f>SUM(O8:O11)</f>
        <v>485.93089558569</v>
      </c>
      <c r="P12" s="433">
        <f>SUM(P8:P11)</f>
        <v>701.11842251889</v>
      </c>
    </row>
    <row ht="13.8" outlineLevel="0" r="13">
      <c r="A13" s="427"/>
      <c r="B13" s="428"/>
      <c r="C13" s="434"/>
      <c r="F13" s="413" t="s">
        <v>776</v>
      </c>
      <c r="G13" s="414"/>
      <c r="H13" s="414"/>
      <c r="I13" s="414"/>
      <c r="J13" s="414"/>
      <c r="K13" s="414"/>
      <c r="L13" s="414"/>
      <c r="M13" s="414"/>
      <c r="N13" s="414"/>
      <c r="O13" s="414"/>
      <c r="P13" s="414"/>
    </row>
    <row ht="13.8" outlineLevel="0" r="14">
      <c r="A14" s="418" t="s">
        <v>776</v>
      </c>
      <c r="B14" s="419">
        <f>+[8]Tabela_1!D44</f>
        <v>36850802.3257074</v>
      </c>
      <c r="C14" s="420">
        <f>'[8]Tabela_1-A'!$C$12</f>
        <v>935493992.206401</v>
      </c>
      <c r="F14" s="223" t="s">
        <v>777</v>
      </c>
      <c r="G14" s="425">
        <f>VLOOKUP("Despesas do RGPS",[8]Tab_Dinâmica!$A$1:$O$35,G$4,0)</f>
        <v>212.15675049514</v>
      </c>
      <c r="H14" s="425">
        <f>VLOOKUP("Despesas do RGPS",[8]Tab_Dinâmica!$A$1:$O$35,H$4,0)</f>
        <v>240.94881687248</v>
      </c>
      <c r="I14" s="425">
        <f>VLOOKUP("Despesas do RGPS",[8]Tab_Dinâmica!$A$1:$O$35,I$4,0)</f>
        <v>262.03826655018</v>
      </c>
      <c r="J14" s="425">
        <f>VLOOKUP("Despesas do RGPS",[8]Tab_Dinâmica!$A$1:$O$35,J$4,0)</f>
        <v>270.26460810194</v>
      </c>
      <c r="K14" s="425">
        <f>VLOOKUP("Despesas do RGPS",[8]Tab_Dinâmica!$A$1:$O$35,K$4,0)</f>
        <v>331.89690948112</v>
      </c>
      <c r="L14" s="425">
        <f>VLOOKUP("Despesas do RGPS",[8]Tab_Dinâmica!$A$1:$O$35,L$4,0)</f>
        <v>368.17109209334</v>
      </c>
      <c r="M14" s="425">
        <f>VLOOKUP("Despesas do RGPS",[8]Tab_Dinâmica!$A$1:$O$35,M$4,0)</f>
        <v>386.26126333509</v>
      </c>
      <c r="N14" s="425">
        <f>VLOOKUP("Despesas do RGPS",[8]Tab_Dinâmica!$A$1:$O$35,N$4,0)</f>
        <v>412.43694570068</v>
      </c>
      <c r="O14" s="425">
        <f>VLOOKUP("Despesas do RGPS",[8]Tab_Dinâmica!$A$1:$O$35,O$4,0)</f>
        <v>461.67040013405</v>
      </c>
      <c r="P14" s="425">
        <f>C15/1000000</f>
        <v>492.40853027892</v>
      </c>
    </row>
    <row ht="13.8" outlineLevel="0" r="15">
      <c r="A15" s="422" t="s">
        <v>766</v>
      </c>
      <c r="B15" s="423">
        <f>+[8]Tabela_1!D36</f>
        <v>1495713.72442004</v>
      </c>
      <c r="C15" s="435">
        <f>'[8]Tabela_1-A'!$C13</f>
        <v>492408530.27892</v>
      </c>
      <c r="F15" s="223" t="s">
        <v>778</v>
      </c>
      <c r="G15" s="425">
        <f>VLOOKUP("Despesas com Saúde",[8]Tab_Dinâmica!$A$1:$O$35,G$4,0)</f>
        <v>41.4153331727316</v>
      </c>
      <c r="H15" s="425">
        <f>VLOOKUP("Despesas com Saúde",[8]Tab_Dinâmica!$A$1:$O$35,H$4,0)</f>
        <v>46.3484808303946</v>
      </c>
      <c r="I15" s="425">
        <f>VLOOKUP("Despesas com Saúde",[8]Tab_Dinâmica!$A$1:$O$35,I$4,0)</f>
        <v>56.7395761872201</v>
      </c>
      <c r="J15" s="425">
        <f>VLOOKUP("Despesas com Saúde",[8]Tab_Dinâmica!$A$1:$O$35,J$4,0)</f>
        <v>61.668613030537</v>
      </c>
      <c r="K15" s="425">
        <f>VLOOKUP("Despesas com Saúde",[8]Tab_Dinâmica!$A$1:$O$35,K$4,0)</f>
        <v>62.1554829787569</v>
      </c>
      <c r="L15" s="425">
        <f>VLOOKUP("Despesas com Saúde",[8]Tab_Dinâmica!$A$1:$O$35,L$4,0)</f>
        <v>65.4325044399106</v>
      </c>
      <c r="M15" s="425">
        <f>VLOOKUP("Despesas com Saúde",[8]Tab_Dinâmica!$A$1:$O$35,M$4,0)</f>
        <v>66.88975566959</v>
      </c>
      <c r="N15" s="425">
        <f>VLOOKUP("Despesas com Saúde",[8]Tab_Dinâmica!$A$1:$O$35,N$4,0)</f>
        <v>68.39831814705</v>
      </c>
      <c r="O15" s="425">
        <f>VLOOKUP("Despesas com Saúde",[8]Tab_Dinâmica!$A$1:$O$35,O$4,0)</f>
        <v>99.1316399669724</v>
      </c>
      <c r="P15" s="425">
        <f>C18/1000000</f>
        <v>112.163376384168</v>
      </c>
    </row>
    <row ht="13.8" outlineLevel="0" r="16">
      <c r="A16" s="422" t="s">
        <v>768</v>
      </c>
      <c r="B16" s="423"/>
      <c r="C16" s="435">
        <f>'[8]Tabela_1-A'!$C14</f>
        <v>58308584.99281</v>
      </c>
      <c r="F16" s="223" t="s">
        <v>779</v>
      </c>
      <c r="G16" s="425">
        <f>VLOOKUP("Despesas com Assistência Social",[8]Tab_Dinâmica!$A$1:$O$35,G$4,0)</f>
        <v>35.5714449992091</v>
      </c>
      <c r="H16" s="425">
        <f>VLOOKUP("Despesas com Assistência Social",[8]Tab_Dinâmica!$A$1:$O$35,H$4,0)</f>
        <v>40.2621876159687</v>
      </c>
      <c r="I16" s="425">
        <f>VLOOKUP("Despesas com Assistência Social",[8]Tab_Dinâmica!$A$1:$O$35,I$4,0)</f>
        <v>44.17988162157</v>
      </c>
      <c r="J16" s="425">
        <f>VLOOKUP("Despesas com Assistência Social",[8]Tab_Dinâmica!$A$1:$O$35,J$4,0)</f>
        <v>47.07291832078</v>
      </c>
      <c r="K16" s="425">
        <f>VLOOKUP("Despesas com Assistência Social",[8]Tab_Dinâmica!$A$1:$O$35,K$4,0)</f>
        <v>51.23833701293</v>
      </c>
      <c r="L16" s="425">
        <f>VLOOKUP("Despesas com Assistência Social",[8]Tab_Dinâmica!$A$1:$O$35,L$4,0)</f>
        <v>55.1214922468196</v>
      </c>
      <c r="M16" s="425">
        <f>VLOOKUP("Despesas com Assistência Social",[8]Tab_Dinâmica!$A$1:$O$35,M$4,0)</f>
        <v>57.95229502149</v>
      </c>
      <c r="N16" s="425">
        <f>VLOOKUP("Despesas com Assistência Social",[8]Tab_Dinâmica!$A$1:$O$35,N$4,0)</f>
        <v>60.8100997343522</v>
      </c>
      <c r="O16" s="425">
        <f>VLOOKUP("Despesas com Assistência Social",[8]Tab_Dinâmica!$A$1:$O$35,O$4,0)</f>
        <v>288.23892663182</v>
      </c>
      <c r="P16" s="425">
        <f>C19/1000000</f>
        <v>124.96175581129</v>
      </c>
    </row>
    <row ht="13.8" outlineLevel="0" r="17">
      <c r="A17" s="422" t="s">
        <v>770</v>
      </c>
      <c r="B17" s="423"/>
      <c r="C17" s="435">
        <f>'[8]Tabela_1-A'!$C15</f>
        <v>15855267.23659</v>
      </c>
      <c r="F17" s="223" t="s">
        <v>769</v>
      </c>
      <c r="G17" s="425">
        <f>VLOOKUP("Despesas do RPPS - Civil (exceto FCDF)",[8]Tab_Dinâmica!$A$1:$O$35,G$4,0)+VLOOKUP("Despesas do RPPS - Civil (FCDF)",[8]Tab_Dinâmica!$A$1:$O$35,G$4,0)</f>
        <v>38.38995271382</v>
      </c>
      <c r="H17" s="425">
        <f>VLOOKUP("Despesas do RPPS - Civil (exceto FCDF)",[8]Tab_Dinâmica!$A$1:$O$35,H$4,0)+VLOOKUP("Despesas do RPPS - Civil (FCDF)",[8]Tab_Dinâmica!$A$1:$O$35,H$4,0)</f>
        <v>41.62637420815</v>
      </c>
      <c r="I17" s="425">
        <f>VLOOKUP("Despesas do RPPS - Civil (exceto FCDF)",[8]Tab_Dinâmica!$A$1:$O$35,I$4,0)+VLOOKUP("Despesas do RPPS - Civil (FCDF)",[8]Tab_Dinâmica!$A$1:$O$35,I$4,0)</f>
        <v>41.45663576248</v>
      </c>
      <c r="J17" s="425">
        <f>VLOOKUP("Despesas do RPPS - Civil (exceto FCDF)",[8]Tab_Dinâmica!$A$1:$O$35,J$4,0)+VLOOKUP("Despesas do RPPS - Civil (FCDF)",[8]Tab_Dinâmica!$A$1:$O$35,J$4,0)</f>
        <v>44.88517058613</v>
      </c>
      <c r="K17" s="425">
        <f>VLOOKUP("Despesas do RPPS - Civil (exceto FCDF)",[8]Tab_Dinâmica!$A$1:$O$35,K$4,0)+VLOOKUP("Despesas do RPPS - Civil (FCDF)",[8]Tab_Dinâmica!$A$1:$O$35,K$4,0)</f>
        <v>46.96383525726</v>
      </c>
      <c r="L17" s="425">
        <f>VLOOKUP("Despesas do RPPS - Civil (exceto FCDF)",[8]Tab_Dinâmica!$A$1:$O$35,L$4,0)+VLOOKUP("Despesas do RPPS - Civil (FCDF)",[8]Tab_Dinâmica!$A$1:$O$35,L$4,0)</f>
        <v>53.43728872175</v>
      </c>
      <c r="M17" s="425">
        <f>VLOOKUP("Despesas do RPPS - Civil (exceto FCDF)",[8]Tab_Dinâmica!$A$1:$O$35,M$4,0)+VLOOKUP("Despesas do RPPS - Civil (FCDF)",[8]Tab_Dinâmica!$A$1:$O$35,M$4,0)</f>
        <v>55.23859190494</v>
      </c>
      <c r="N17" s="425">
        <f>VLOOKUP("Despesas do RPPS - Civil (exceto FCDF)",[8]Tab_Dinâmica!$A$1:$O$35,N$4,0)+VLOOKUP("Despesas do RPPS - Civil (FCDF)",[8]Tab_Dinâmica!$A$1:$O$35,N$4,0)</f>
        <v>58.86102734869</v>
      </c>
      <c r="O17" s="425">
        <f>VLOOKUP("Despesas do RPPS - Civil (exceto FCDF)",[8]Tab_Dinâmica!$A$1:$O$35,O$4,0)+VLOOKUP("Despesas do RPPS - Civil (FCDF)",[8]Tab_Dinâmica!$A$1:$O$35,O$4,0)</f>
        <v>61.76437194098</v>
      </c>
      <c r="P17" s="425">
        <f>C16/1000000</f>
        <v>58.30858499281</v>
      </c>
      <c r="V17" s="436"/>
    </row>
    <row ht="13.8" outlineLevel="0" r="18">
      <c r="A18" s="422" t="s">
        <v>780</v>
      </c>
      <c r="B18" s="423">
        <f>+'[8]Tab_1-B'!B9/1000</f>
        <v>112163376.384168</v>
      </c>
      <c r="C18" s="435">
        <f>'[8]Tabela_1-A'!$C16</f>
        <v>112163376.384168</v>
      </c>
      <c r="F18" s="223" t="s">
        <v>781</v>
      </c>
      <c r="G18" s="425">
        <f>VLOOKUP("Despesas com Seguro Desemprego",[8]Tab_Dinâmica!$A$1:$O$35,G$4,0)</f>
        <v>18.43596475274</v>
      </c>
      <c r="H18" s="425">
        <f>VLOOKUP("Despesas com Seguro Desemprego",[8]Tab_Dinâmica!$A$1:$O$35,H$4,0)</f>
        <v>20.48394898035</v>
      </c>
      <c r="I18" s="425">
        <f>VLOOKUP("Despesas com Seguro Desemprego",[8]Tab_Dinâmica!$A$1:$O$35,I$4,0)</f>
        <v>22.80722980408</v>
      </c>
      <c r="J18" s="425">
        <f>VLOOKUP("Despesas com Seguro Desemprego",[8]Tab_Dinâmica!$A$1:$O$35,J$4,0)</f>
        <v>25.93602093121</v>
      </c>
      <c r="K18" s="425">
        <f>VLOOKUP("Despesas com Seguro Desemprego",[8]Tab_Dinâmica!$A$1:$O$35,K$4,0)</f>
        <v>25.10709546255</v>
      </c>
      <c r="L18" s="425">
        <f>VLOOKUP("Despesas com Seguro Desemprego",[8]Tab_Dinâmica!$A$1:$O$35,L$4,0)</f>
        <v>25.3115614962</v>
      </c>
      <c r="M18" s="425">
        <f>VLOOKUP("Despesas com Seguro Desemprego",[8]Tab_Dinâmica!$A$1:$O$35,M$4,0)</f>
        <v>24.39904640518</v>
      </c>
      <c r="N18" s="425">
        <f>VLOOKUP("Despesas com Seguro Desemprego",[8]Tab_Dinâmica!$A$1:$O$35,N$4,0)</f>
        <v>24.87499430677</v>
      </c>
      <c r="O18" s="425">
        <f>VLOOKUP("Despesas com Seguro Desemprego",[8]Tab_Dinâmica!$A$1:$O$35,O$4,0)</f>
        <v>27.5342331208</v>
      </c>
      <c r="P18" s="425">
        <f>C22/1000000</f>
        <v>26.95759194526</v>
      </c>
      <c r="V18" s="437"/>
    </row>
    <row ht="13.8" outlineLevel="0" r="19">
      <c r="A19" s="422" t="s">
        <v>782</v>
      </c>
      <c r="B19" s="423">
        <f>+'[8]Tab_1-B'!B10/1000</f>
        <v>547084371.46842</v>
      </c>
      <c r="C19" s="435">
        <f>'[8]Tabela_1-A'!$C17</f>
        <v>124961755.81129</v>
      </c>
      <c r="F19" s="223" t="s">
        <v>783</v>
      </c>
      <c r="G19" s="425">
        <f>VLOOKUP("Despesas de Pensionistas Militares",[8]Tab_Dinâmica!$A$1:$O$35,G$4,0)</f>
        <v>15.23703074701</v>
      </c>
      <c r="H19" s="425">
        <f>VLOOKUP("Despesas de Pensionistas Militares",[8]Tab_Dinâmica!$A$1:$O$35,H$4,0)</f>
        <v>16.10911256608</v>
      </c>
      <c r="I19" s="425">
        <f>VLOOKUP("Despesas de Pensionistas Militares",[8]Tab_Dinâmica!$A$1:$O$35,I$4,0)</f>
        <v>20.62471759488</v>
      </c>
      <c r="J19" s="425">
        <f>VLOOKUP("Despesas de Pensionistas Militares",[8]Tab_Dinâmica!$A$1:$O$35,J$4,0)</f>
        <v>22.74671293002</v>
      </c>
      <c r="K19" s="425">
        <f>VLOOKUP("Despesas de Pensionistas Militares",[8]Tab_Dinâmica!$A$1:$O$35,K$4,0)</f>
        <v>11.0973193328</v>
      </c>
      <c r="L19" s="425">
        <f>VLOOKUP("Despesas de Pensionistas Militares",[8]Tab_Dinâmica!$A$1:$O$35,L$4,0)</f>
        <v>12.49440629825</v>
      </c>
      <c r="M19" s="425">
        <f>VLOOKUP("Despesas de Pensionistas Militares",[8]Tab_Dinâmica!$A$1:$O$35,M$4,0)</f>
        <v>13.95013785749</v>
      </c>
      <c r="N19" s="425">
        <f>VLOOKUP("Despesas de Pensionistas Militares",[8]Tab_Dinâmica!$A$1:$O$35,N$4,0)</f>
        <v>14.93545612177</v>
      </c>
      <c r="O19" s="425">
        <f>VLOOKUP("Despesas de Pensionistas Militares",[8]Tab_Dinâmica!$A$1:$O$35,O$4,0)</f>
        <v>15.13884166848</v>
      </c>
      <c r="P19" s="425">
        <f>C17/1000000</f>
        <v>15.85526723659</v>
      </c>
      <c r="V19" s="436"/>
    </row>
    <row ht="13.8" outlineLevel="0" r="20">
      <c r="A20" s="422" t="s">
        <v>784</v>
      </c>
      <c r="B20" s="423">
        <f>+'[8]Tab_1-B'!B11/1000</f>
        <v>124961755.81129</v>
      </c>
      <c r="C20" s="435">
        <f>'[8]Tabela_1-A'!$C18</f>
        <v>10158094.48797</v>
      </c>
      <c r="F20" s="223" t="s">
        <v>785</v>
      </c>
      <c r="G20" s="425">
        <f>VLOOKUP("Despesas com Abono Salarial",[8]Tab_Dinâmica!$A$1:$O$35,G$4,0)</f>
        <v>7.91560034514</v>
      </c>
      <c r="H20" s="425">
        <f>VLOOKUP("Despesas com Abono Salarial",[8]Tab_Dinâmica!$A$1:$O$35,H$4,0)</f>
        <v>7.73507504418</v>
      </c>
      <c r="I20" s="425">
        <f>VLOOKUP("Despesas com Abono Salarial",[8]Tab_Dinâmica!$A$1:$O$35,I$4,0)</f>
        <v>6.846292344</v>
      </c>
      <c r="J20" s="425">
        <f>VLOOKUP("Despesas com Abono Salarial",[8]Tab_Dinâmica!$A$1:$O$35,J$4,0)</f>
        <v>3.74919768633</v>
      </c>
      <c r="K20" s="425">
        <f>VLOOKUP("Despesas com Abono Salarial",[8]Tab_Dinâmica!$A$1:$O$35,K$4,0)</f>
        <v>12.62071399676</v>
      </c>
      <c r="L20" s="425">
        <f>VLOOKUP("Despesas com Abono Salarial",[8]Tab_Dinâmica!$A$1:$O$35,L$4,0)</f>
        <v>10.58899880469</v>
      </c>
      <c r="M20" s="425">
        <f>VLOOKUP("Despesas com Abono Salarial",[8]Tab_Dinâmica!$A$1:$O$35,M$4,0)</f>
        <v>11.70885859451</v>
      </c>
      <c r="N20" s="425">
        <f>VLOOKUP("Despesas com Abono Salarial",[8]Tab_Dinâmica!$A$1:$O$35,N$4,0)</f>
        <v>11.48171318126</v>
      </c>
      <c r="O20" s="425">
        <f>VLOOKUP("Despesas com Abono Salarial",[8]Tab_Dinâmica!$A$1:$O$35,O$4,0)</f>
        <v>15.6286390259</v>
      </c>
      <c r="P20" s="425">
        <f>C20/1000000</f>
        <v>10.15809448797</v>
      </c>
      <c r="V20" s="437"/>
    </row>
    <row ht="13.8" outlineLevel="0" r="21">
      <c r="A21" s="422"/>
      <c r="B21" s="423"/>
      <c r="C21" s="435"/>
      <c r="F21" s="223" t="s">
        <v>786</v>
      </c>
      <c r="G21" s="425">
        <f>VLOOKUP("Demais Despesas",[8]Tab_Dinâmica!$A$1:$O$35,G$4,0)</f>
        <v>12.0139620166363</v>
      </c>
      <c r="H21" s="425">
        <f>VLOOKUP("Demais Despesas",[8]Tab_Dinâmica!$A$1:$O$35,H$4,0)</f>
        <v>14.0406255408127</v>
      </c>
      <c r="I21" s="425">
        <f>VLOOKUP("Demais Despesas",[8]Tab_Dinâmica!$A$1:$O$35,I$4,0)</f>
        <v>15.4701701081119</v>
      </c>
      <c r="J21" s="425">
        <f>VLOOKUP("Demais Despesas",[8]Tab_Dinâmica!$A$1:$O$35,J$4,0)</f>
        <v>16.690064868777</v>
      </c>
      <c r="K21" s="425">
        <f>VLOOKUP("Demais Despesas",[8]Tab_Dinâmica!$A$1:$O$35,K$4,0)</f>
        <v>17.5466710249241</v>
      </c>
      <c r="L21" s="425">
        <f>VLOOKUP("Demais Despesas",[8]Tab_Dinâmica!$A$1:$O$35,L$4,0)</f>
        <v>20.6410122456098</v>
      </c>
      <c r="M21" s="425">
        <f>VLOOKUP("Demais Despesas",[8]Tab_Dinâmica!$A$1:$O$35,M$4,0)</f>
        <v>22.068293687104</v>
      </c>
      <c r="N21" s="425">
        <f>VLOOKUP("Demais Despesas",[8]Tab_Dinâmica!$A$1:$O$35,N$4,0)</f>
        <v>21.7028496382618</v>
      </c>
      <c r="O21" s="425">
        <f>VLOOKUP("Demais Despesas",[8]Tab_Dinâmica!$A$1:$O$35,O$4,0)</f>
        <v>22.5156766782737</v>
      </c>
      <c r="P21" s="425">
        <f>C23/1000000</f>
        <v>94.680791069393</v>
      </c>
      <c r="V21" s="437"/>
    </row>
    <row ht="13.8" outlineLevel="0" r="22">
      <c r="A22" s="422" t="s">
        <v>787</v>
      </c>
      <c r="B22" s="423">
        <f>+'[8]Tab_1-B'!B12/1000</f>
        <v>10158094.48797</v>
      </c>
      <c r="C22" s="435">
        <f>'[8]Tabela_1-A'!$C19</f>
        <v>26957591.94526</v>
      </c>
      <c r="F22" s="432" t="s">
        <v>788</v>
      </c>
      <c r="G22" s="438">
        <f>SUM(G14:G21)</f>
        <v>381.136039242427</v>
      </c>
      <c r="H22" s="438">
        <f>SUM(H14:H21)</f>
        <v>427.554621658416</v>
      </c>
      <c r="I22" s="438">
        <f>SUM(I14:I21)</f>
        <v>470.162769972522</v>
      </c>
      <c r="J22" s="438">
        <f>SUM(J14:J21)</f>
        <v>493.013306455724</v>
      </c>
      <c r="K22" s="438">
        <f>SUM(K14:K21)</f>
        <v>558.626364547101</v>
      </c>
      <c r="L22" s="438">
        <f>SUM(L14:L21)</f>
        <v>611.19835634657</v>
      </c>
      <c r="M22" s="438">
        <f>SUM(M14:M21)</f>
        <v>638.468242475394</v>
      </c>
      <c r="N22" s="438">
        <f>SUM(N14:N21)</f>
        <v>673.501404178834</v>
      </c>
      <c r="O22" s="438">
        <f>SUM(O14:O21)</f>
        <v>991.622729167276</v>
      </c>
      <c r="P22" s="438">
        <f>SUM(P14:P21)</f>
        <v>935.493992206401</v>
      </c>
      <c r="V22" s="436"/>
    </row>
    <row ht="13.8" outlineLevel="0" r="23">
      <c r="A23" s="422" t="s">
        <v>789</v>
      </c>
      <c r="B23" s="423">
        <f>+B14-SUM(B15:B22)</f>
        <v>-759012509.550561</v>
      </c>
      <c r="C23" s="435">
        <f>'[8]Tabela_1-A'!$C20</f>
        <v>94680791.069393</v>
      </c>
      <c r="F23" s="413" t="s">
        <v>540</v>
      </c>
      <c r="G23" s="413"/>
      <c r="H23" s="439"/>
      <c r="I23" s="439"/>
      <c r="J23" s="439"/>
      <c r="K23" s="439"/>
      <c r="L23" s="439"/>
      <c r="M23" s="439"/>
      <c r="N23" s="439"/>
      <c r="O23" s="439"/>
      <c r="P23" s="439"/>
      <c r="V23" s="437"/>
    </row>
    <row ht="13.8" outlineLevel="0" r="24">
      <c r="A24" s="415" t="s">
        <v>540</v>
      </c>
      <c r="B24" s="419">
        <f>+B7-B14</f>
        <v>45266820.7358625</v>
      </c>
      <c r="C24" s="420">
        <f>+C7-C14</f>
        <v>-234375569.687511</v>
      </c>
      <c r="F24" s="432" t="s">
        <v>790</v>
      </c>
      <c r="G24" s="438">
        <f>G12-G22</f>
        <v>-38.768241937267</v>
      </c>
      <c r="H24" s="438">
        <f>H12-H22</f>
        <v>-56.8806312349561</v>
      </c>
      <c r="I24" s="438">
        <f>I12-I22</f>
        <v>-67.287225998372</v>
      </c>
      <c r="J24" s="438">
        <f>J12-J22</f>
        <v>-68.8744226854041</v>
      </c>
      <c r="K24" s="438">
        <f>K12-K22</f>
        <v>-72.8395043787208</v>
      </c>
      <c r="L24" s="438">
        <f>L12-L22</f>
        <v>-180.73277955753</v>
      </c>
      <c r="M24" s="438">
        <f>M12-M22</f>
        <v>-177.660678801264</v>
      </c>
      <c r="N24" s="438">
        <f>N12-N22</f>
        <v>-192.722071248574</v>
      </c>
      <c r="O24" s="438">
        <f>O12-O22</f>
        <v>-505.691833581586</v>
      </c>
      <c r="P24" s="438">
        <f>P12-P22</f>
        <v>-234.375569687511</v>
      </c>
      <c r="V24" s="436"/>
    </row>
    <row ht="19.4" customHeight="1" outlineLevel="0" r="25">
      <c r="A25" s="440" t="s">
        <v>791</v>
      </c>
      <c r="B25" s="440"/>
      <c r="C25" s="440"/>
      <c r="F25" s="223" t="s">
        <v>792</v>
      </c>
      <c r="G25" s="425">
        <f>VLOOKUP("DRU",[8]Tab_Dinâmica!$A$1:$O$35,G$4,0)</f>
        <v>36.92608987477</v>
      </c>
      <c r="H25" s="425">
        <f>VLOOKUP("DRU",[8]Tab_Dinâmica!$A$1:$O$35,H$4,0)</f>
        <v>37.95967200618</v>
      </c>
      <c r="I25" s="425">
        <f>VLOOKUP("DRU",[8]Tab_Dinâmica!$A$1:$O$35,I$4,0)</f>
        <v>39.51057517453</v>
      </c>
      <c r="J25" s="425">
        <f>VLOOKUP("DRU",[8]Tab_Dinâmica!$A$1:$O$35,J$4,0)</f>
        <v>40.80335905276</v>
      </c>
      <c r="K25" s="425">
        <f>VLOOKUP("DRU",[8]Tab_Dinâmica!$A$1:$O$35,K$4,0)</f>
        <v>0</v>
      </c>
      <c r="L25" s="425">
        <f>VLOOKUP("DRU",[8]Tab_Dinâmica!$A$1:$O$35,L$4,0)</f>
        <v>62.80044571397</v>
      </c>
      <c r="M25" s="425">
        <f>VLOOKUP("DRU",[8]Tab_Dinâmica!$A$1:$O$35,M$4,0)</f>
        <v>72.91546773176</v>
      </c>
      <c r="N25" s="425">
        <f>VLOOKUP("DRU",[8]Tab_Dinâmica!$A$1:$O$35,N$4,0)</f>
        <v>74.14111390539</v>
      </c>
      <c r="O25" s="425">
        <f>VLOOKUP("DRU",[8]Tab_Dinâmica!$A$1:$O$35,O$4,0)</f>
        <v>0.12971096119</v>
      </c>
      <c r="P25" s="425">
        <f>C12/1000000</f>
        <v>0.1540130111</v>
      </c>
    </row>
    <row ht="13.8" outlineLevel="0" r="26">
      <c r="A26" s="440"/>
      <c r="B26" s="440"/>
      <c r="C26" s="440"/>
      <c r="F26" s="432" t="s">
        <v>793</v>
      </c>
      <c r="G26" s="438">
        <f>G24+G25</f>
        <v>-1.84215206249702</v>
      </c>
      <c r="H26" s="438">
        <f>H24+H25</f>
        <v>-18.9209592287761</v>
      </c>
      <c r="I26" s="438">
        <f>I24+I25</f>
        <v>-27.776650823842</v>
      </c>
      <c r="J26" s="438">
        <f>J24+J25</f>
        <v>-28.0710636326441</v>
      </c>
      <c r="K26" s="438">
        <f>K24+K25</f>
        <v>-72.8395043787208</v>
      </c>
      <c r="L26" s="438">
        <f>L24+L25</f>
        <v>-117.93233384356</v>
      </c>
      <c r="M26" s="438">
        <f>M24+M25</f>
        <v>-104.745211069504</v>
      </c>
      <c r="N26" s="438">
        <f>N24+N25</f>
        <v>-118.580957343184</v>
      </c>
      <c r="O26" s="438">
        <f>O24+O25</f>
        <v>-505.562122620396</v>
      </c>
      <c r="P26" s="438">
        <f>P24+P25</f>
        <v>-234.221556676411</v>
      </c>
    </row>
    <row ht="13.8" outlineLevel="0" r="27">
      <c r="V27" s="436">
        <f>V7</f>
        <v>44409</v>
      </c>
    </row>
    <row ht="13.8" outlineLevel="0" r="28">
      <c r="A28" s="409"/>
      <c r="B28" s="409"/>
      <c r="C28" s="412"/>
      <c r="V28" s="437">
        <f>DATE(YEAR(V27)-1,MONTH(V27),DAY(V27))</f>
        <v>44044</v>
      </c>
    </row>
    <row ht="13.8" outlineLevel="0" r="29">
      <c r="A29" s="415" t="s">
        <v>763</v>
      </c>
      <c r="B29" s="416" t="s">
        <v>764</v>
      </c>
      <c r="C29" s="417" t="s">
        <v>765</v>
      </c>
      <c r="V29" s="436">
        <f>DATE(YEAR(V28)-1,MONTH(V28),DAY(V28))</f>
        <v>43678</v>
      </c>
    </row>
    <row ht="13.8" outlineLevel="0" r="30">
      <c r="A30" s="418" t="s">
        <v>761</v>
      </c>
      <c r="B30" s="419">
        <f>+[8]Tabela_1!E46</f>
        <v>1025982268.33865</v>
      </c>
      <c r="C30" s="420">
        <f>+C7/1000000</f>
        <v>701.11842251889</v>
      </c>
      <c r="V30" s="437">
        <f>DATE(YEAR(V29)-1,MONTH(V29),DAY(V29))</f>
        <v>43313</v>
      </c>
    </row>
    <row ht="13.8" outlineLevel="0" r="31">
      <c r="A31" s="422" t="s">
        <v>766</v>
      </c>
      <c r="B31" s="423"/>
      <c r="C31" s="435">
        <f>+C8/1000000</f>
        <v>283.21757776267</v>
      </c>
      <c r="V31" s="436">
        <f>DATE(YEAR(V30)-1,MONTH(V30),DAY(V30))</f>
        <v>42948</v>
      </c>
    </row>
    <row ht="13.8" outlineLevel="0" r="32">
      <c r="A32" s="422" t="s">
        <v>768</v>
      </c>
      <c r="B32" s="423"/>
      <c r="C32" s="435">
        <f>+C9/1000000</f>
        <v>25.44094014264</v>
      </c>
      <c r="V32" s="437">
        <f>DATE(YEAR(V31)-1,MONTH(V31),DAY(V31))</f>
        <v>42583</v>
      </c>
    </row>
    <row ht="13.8" outlineLevel="0" r="33">
      <c r="A33" s="422" t="s">
        <v>770</v>
      </c>
      <c r="B33" s="423"/>
      <c r="C33" s="435">
        <f>+C10/1000000</f>
        <v>5.39695849222</v>
      </c>
      <c r="G33" s="223"/>
      <c r="H33" s="223"/>
      <c r="I33" s="441"/>
      <c r="J33" s="442"/>
      <c r="K33" s="442"/>
      <c r="L33" s="442"/>
      <c r="M33" s="441"/>
      <c r="V33" s="436">
        <f>DATE(YEAR(V32)-1,MONTH(V32),DAY(V32))</f>
        <v>42217</v>
      </c>
    </row>
    <row ht="12.8" outlineLevel="0" r="34">
      <c r="A34" s="427" t="s">
        <v>772</v>
      </c>
      <c r="B34" s="428"/>
      <c r="C34" s="434">
        <f>+C11/1000000</f>
        <v>387.06294612136</v>
      </c>
    </row>
    <row ht="12.8" outlineLevel="0" r="35">
      <c r="A35" s="418" t="s">
        <v>774</v>
      </c>
      <c r="B35" s="430">
        <f>+'[8]Tabela_1-A'!C137</f>
        <v>0</v>
      </c>
      <c r="C35" s="431">
        <f>+C12/1000000</f>
        <v>0.1540130111</v>
      </c>
    </row>
    <row ht="12.8" outlineLevel="0" r="36">
      <c r="A36" s="427"/>
      <c r="B36" s="428"/>
      <c r="C36" s="434">
        <f>+C13/1000000</f>
        <v>0</v>
      </c>
    </row>
    <row ht="12.8" outlineLevel="0" r="37">
      <c r="A37" s="418" t="s">
        <v>776</v>
      </c>
      <c r="B37" s="419">
        <f>+[8]Tabela_1!D66</f>
        <v>0</v>
      </c>
      <c r="C37" s="420">
        <f>+C14/1000000</f>
        <v>935.493992206401</v>
      </c>
    </row>
    <row ht="12.8" outlineLevel="0" r="38">
      <c r="A38" s="422" t="s">
        <v>766</v>
      </c>
      <c r="B38" s="423">
        <f>+[8]Tabela_1!D58</f>
        <v>0</v>
      </c>
      <c r="C38" s="435">
        <f>+C15/1000000</f>
        <v>492.40853027892</v>
      </c>
    </row>
    <row ht="12.8" outlineLevel="0" r="39">
      <c r="A39" s="422" t="s">
        <v>768</v>
      </c>
      <c r="B39" s="423"/>
      <c r="C39" s="435">
        <f>+C16/1000000</f>
        <v>58.30858499281</v>
      </c>
    </row>
    <row ht="12.8" outlineLevel="0" r="40">
      <c r="A40" s="422" t="s">
        <v>770</v>
      </c>
      <c r="B40" s="423"/>
      <c r="C40" s="435">
        <f>+C17/1000000</f>
        <v>15.85526723659</v>
      </c>
    </row>
    <row ht="12.8" outlineLevel="0" r="41">
      <c r="A41" s="422" t="s">
        <v>780</v>
      </c>
      <c r="B41" s="423">
        <f>+'[8]Tab_1-B'!B31/1000</f>
        <v>0</v>
      </c>
      <c r="C41" s="435">
        <f>+C18/1000000</f>
        <v>112.163376384168</v>
      </c>
    </row>
    <row ht="12.8" outlineLevel="0" r="42">
      <c r="A42" s="422" t="s">
        <v>782</v>
      </c>
      <c r="B42" s="423">
        <f>+'[8]Tab_1-B'!B32/1000</f>
        <v>0</v>
      </c>
      <c r="C42" s="435">
        <f>+C19/1000000</f>
        <v>124.96175581129</v>
      </c>
    </row>
    <row ht="12.8" outlineLevel="0" r="43">
      <c r="A43" s="422" t="s">
        <v>784</v>
      </c>
      <c r="B43" s="423">
        <f>+'[8]Tab_1-B'!B33/1000</f>
        <v>0</v>
      </c>
      <c r="C43" s="435">
        <f>+C20/1000000</f>
        <v>10.15809448797</v>
      </c>
    </row>
    <row ht="12.8" outlineLevel="0" r="44">
      <c r="A44" s="422" t="s">
        <v>787</v>
      </c>
      <c r="B44" s="423">
        <f>+'[8]Tab_1-B'!B34/1000</f>
        <v>0</v>
      </c>
      <c r="C44" s="435">
        <f>+C22/1000000</f>
        <v>26.95759194526</v>
      </c>
    </row>
    <row ht="12.8" outlineLevel="0" r="45">
      <c r="A45" s="422" t="s">
        <v>789</v>
      </c>
      <c r="B45" s="423">
        <f>+B37-SUM(B38:B44)</f>
        <v>0</v>
      </c>
      <c r="C45" s="435">
        <f>+C23/1000000</f>
        <v>94.680791069393</v>
      </c>
    </row>
    <row ht="12.8" outlineLevel="0" r="46">
      <c r="A46" s="415" t="s">
        <v>540</v>
      </c>
      <c r="B46" s="419">
        <f>+B30-B37</f>
        <v>1025982268.33865</v>
      </c>
      <c r="C46" s="420">
        <f>+C24/1000000</f>
        <v>-234.375569687511</v>
      </c>
    </row>
    <row ht="12.8" outlineLevel="0" r="47">
      <c r="A47" s="440"/>
      <c r="B47" s="440"/>
      <c r="C47" s="440"/>
    </row>
    <row ht="15" customHeight="1" outlineLevel="0" r="48">
      <c r="A48" s="407" t="s">
        <v>763</v>
      </c>
      <c r="B48" s="411" t="s">
        <v>599</v>
      </c>
      <c r="C48" s="411"/>
    </row>
    <row ht="15" customHeight="1" outlineLevel="0" r="49">
      <c r="A49" s="407" t="s">
        <v>761</v>
      </c>
      <c r="B49" s="443">
        <f>+C30</f>
        <v>701.11842251889</v>
      </c>
      <c r="C49" s="443"/>
    </row>
    <row ht="15" customHeight="1" outlineLevel="0" r="50">
      <c r="A50" s="407" t="s">
        <v>794</v>
      </c>
      <c r="B50" s="443">
        <f>+C35</f>
        <v>0.1540130111</v>
      </c>
      <c r="C50" s="443"/>
    </row>
    <row ht="15" customHeight="1" outlineLevel="0" r="51">
      <c r="A51" s="407" t="s">
        <v>776</v>
      </c>
      <c r="B51" s="443">
        <f>+C37</f>
        <v>935.493992206401</v>
      </c>
      <c r="C51" s="443"/>
    </row>
    <row ht="15" customHeight="1" outlineLevel="0" r="52">
      <c r="A52" s="407" t="s">
        <v>540</v>
      </c>
      <c r="B52" s="443">
        <f>+B49-B51</f>
        <v>-234.375569687511</v>
      </c>
      <c r="C52" s="443"/>
    </row>
    <row ht="12.8" outlineLevel="0" r="68">
      <c r="G68" s="444"/>
      <c r="H68" s="445"/>
    </row>
  </sheetData>
  <mergeCells count="10">
    <mergeCell ref="F5:F7"/>
    <mergeCell ref="G5:P5"/>
    <mergeCell ref="A25:C25"/>
    <mergeCell ref="A26:C26"/>
    <mergeCell ref="A47:C47"/>
    <mergeCell ref="B48:C48"/>
    <mergeCell ref="B49:C49"/>
    <mergeCell ref="B50:C50"/>
    <mergeCell ref="B51:C51"/>
    <mergeCell ref="B52:C52"/>
  </mergeCells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FFC000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3"/>
  <cols>
    <col min="1" max="1" width="10.12" style="1" customWidth="1"/>
    <col min="2" max="2" width="24.97" style="1" customWidth="1"/>
    <col min="3" max="3" width="15.12" style="1" customWidth="1"/>
    <col min="4" max="1025" width="8.37" style="1" customWidth="1"/>
  </cols>
  <sheetData>
    <row ht="13.8" outlineLevel="0" r="1">
      <c r="A1" s="2" t="s">
        <v>795</v>
      </c>
      <c r="B1" s="2" t="s">
        <v>796</v>
      </c>
    </row>
    <row ht="13.8" outlineLevel="0" r="2">
      <c r="A2" s="3">
        <v>32874</v>
      </c>
      <c r="B2" s="199">
        <v>0.7</v>
      </c>
    </row>
    <row ht="13.8" outlineLevel="0" r="3">
      <c r="A3" s="3">
        <v>32905</v>
      </c>
      <c r="B3" s="199">
        <v>1.1</v>
      </c>
    </row>
    <row ht="13.8" outlineLevel="0" r="4">
      <c r="A4" s="3">
        <v>32933</v>
      </c>
      <c r="B4" s="199">
        <v>1.8</v>
      </c>
    </row>
    <row ht="13.8" outlineLevel="0" r="5">
      <c r="A5" s="3">
        <v>32964</v>
      </c>
      <c r="B5" s="199">
        <v>2.5</v>
      </c>
    </row>
    <row ht="13.8" outlineLevel="0" r="6">
      <c r="A6" s="3">
        <v>32994</v>
      </c>
      <c r="B6" s="199">
        <v>3.3</v>
      </c>
    </row>
    <row ht="13.8" outlineLevel="0" r="7">
      <c r="A7" s="3">
        <v>33025</v>
      </c>
      <c r="B7" s="199">
        <v>4</v>
      </c>
    </row>
    <row ht="13.8" outlineLevel="0" r="8">
      <c r="A8" s="3">
        <v>33055</v>
      </c>
      <c r="B8" s="199">
        <v>4.9</v>
      </c>
    </row>
    <row ht="13.8" outlineLevel="0" r="9">
      <c r="A9" s="3">
        <v>33086</v>
      </c>
      <c r="B9" s="199">
        <v>5.9</v>
      </c>
    </row>
    <row ht="13.8" outlineLevel="0" r="10">
      <c r="A10" s="3">
        <v>33117</v>
      </c>
      <c r="B10" s="199">
        <v>7</v>
      </c>
    </row>
    <row ht="13.8" outlineLevel="0" r="11">
      <c r="A11" s="3">
        <v>33147</v>
      </c>
      <c r="B11" s="199">
        <v>8.3</v>
      </c>
    </row>
    <row ht="13.8" outlineLevel="0" r="12">
      <c r="A12" s="3">
        <v>33178</v>
      </c>
      <c r="B12" s="199">
        <v>9.9</v>
      </c>
    </row>
    <row ht="13.8" outlineLevel="0" r="13">
      <c r="A13" s="3">
        <v>33208</v>
      </c>
      <c r="B13" s="199">
        <v>11.5</v>
      </c>
    </row>
    <row ht="13.8" outlineLevel="0" r="14">
      <c r="A14" s="3">
        <v>33239</v>
      </c>
      <c r="B14" s="199">
        <v>13.4</v>
      </c>
    </row>
    <row ht="13.8" outlineLevel="0" r="15">
      <c r="A15" s="3">
        <v>33270</v>
      </c>
      <c r="B15" s="199">
        <v>15.4</v>
      </c>
    </row>
    <row ht="13.8" outlineLevel="0" r="16">
      <c r="A16" s="3">
        <v>33298</v>
      </c>
      <c r="B16" s="199">
        <v>17.1</v>
      </c>
    </row>
    <row ht="13.8" outlineLevel="0" r="17">
      <c r="A17" s="3">
        <v>33329</v>
      </c>
      <c r="B17" s="199">
        <v>19.5</v>
      </c>
    </row>
    <row ht="13.8" outlineLevel="0" r="18">
      <c r="A18" s="3">
        <v>33359</v>
      </c>
      <c r="B18" s="199">
        <v>22.3</v>
      </c>
    </row>
    <row ht="13.8" outlineLevel="0" r="19">
      <c r="A19" s="3">
        <v>33390</v>
      </c>
      <c r="B19" s="199">
        <v>25.6</v>
      </c>
    </row>
    <row ht="13.8" outlineLevel="0" r="20">
      <c r="A20" s="3">
        <v>33420</v>
      </c>
      <c r="B20" s="199">
        <v>29.3</v>
      </c>
    </row>
    <row ht="13.8" outlineLevel="0" r="21">
      <c r="A21" s="3">
        <v>33451</v>
      </c>
      <c r="B21" s="199">
        <v>33.5</v>
      </c>
    </row>
    <row ht="13.8" outlineLevel="0" r="22">
      <c r="A22" s="3">
        <v>33482</v>
      </c>
      <c r="B22" s="199">
        <v>37.9</v>
      </c>
    </row>
    <row ht="13.8" outlineLevel="0" r="23">
      <c r="A23" s="3">
        <v>33512</v>
      </c>
      <c r="B23" s="199">
        <v>44</v>
      </c>
    </row>
    <row ht="13.8" outlineLevel="0" r="24">
      <c r="A24" s="3">
        <v>33543</v>
      </c>
      <c r="B24" s="199">
        <v>51.6</v>
      </c>
    </row>
    <row ht="13.8" outlineLevel="0" r="25">
      <c r="A25" s="3">
        <v>33573</v>
      </c>
      <c r="B25" s="199">
        <v>60.3</v>
      </c>
    </row>
    <row ht="13.8" outlineLevel="0" r="26">
      <c r="A26" s="3">
        <v>33604</v>
      </c>
      <c r="B26" s="199">
        <v>71.3</v>
      </c>
    </row>
    <row ht="13.8" outlineLevel="0" r="27">
      <c r="A27" s="3">
        <v>33635</v>
      </c>
      <c r="B27" s="199">
        <v>85.2</v>
      </c>
    </row>
    <row ht="13.8" outlineLevel="0" r="28">
      <c r="A28" s="3">
        <v>33664</v>
      </c>
      <c r="B28" s="199">
        <v>102.3</v>
      </c>
    </row>
    <row ht="13.8" outlineLevel="0" r="29">
      <c r="A29" s="3">
        <v>33695</v>
      </c>
      <c r="B29" s="199">
        <v>122.8</v>
      </c>
    </row>
    <row ht="13.8" outlineLevel="0" r="30">
      <c r="A30" s="3">
        <v>33725</v>
      </c>
      <c r="B30" s="199">
        <v>149.3</v>
      </c>
    </row>
    <row ht="13.8" outlineLevel="0" r="31">
      <c r="A31" s="3">
        <v>33756</v>
      </c>
      <c r="B31" s="199">
        <v>182.8</v>
      </c>
    </row>
    <row ht="13.8" outlineLevel="0" r="32">
      <c r="A32" s="3">
        <v>33786</v>
      </c>
      <c r="B32" s="199">
        <v>224.3</v>
      </c>
    </row>
    <row ht="13.8" outlineLevel="0" r="33">
      <c r="A33" s="3">
        <v>33817</v>
      </c>
      <c r="B33" s="199">
        <v>275.7</v>
      </c>
    </row>
    <row ht="13.8" outlineLevel="0" r="34">
      <c r="A34" s="3">
        <v>33848</v>
      </c>
      <c r="B34" s="199">
        <v>341</v>
      </c>
    </row>
    <row ht="13.8" outlineLevel="0" r="35">
      <c r="A35" s="3">
        <v>33878</v>
      </c>
      <c r="B35" s="199">
        <v>422.5</v>
      </c>
    </row>
    <row ht="13.8" outlineLevel="0" r="36">
      <c r="A36" s="3">
        <v>33909</v>
      </c>
      <c r="B36" s="199">
        <v>523.8</v>
      </c>
    </row>
    <row ht="13.8" outlineLevel="0" r="37">
      <c r="A37" s="3">
        <v>33939</v>
      </c>
      <c r="B37" s="199">
        <v>641</v>
      </c>
    </row>
    <row ht="13.8" outlineLevel="0" r="38">
      <c r="A38" s="3">
        <v>33970</v>
      </c>
      <c r="B38" s="199">
        <v>791.9</v>
      </c>
    </row>
    <row ht="13.8" outlineLevel="0" r="39">
      <c r="A39" s="3">
        <v>34001</v>
      </c>
      <c r="B39" s="199">
        <v>982.5</v>
      </c>
    </row>
    <row ht="13.8" outlineLevel="0" r="40">
      <c r="A40" s="3">
        <v>34029</v>
      </c>
      <c r="B40" s="199">
        <v>1257.5</v>
      </c>
    </row>
    <row ht="13.8" outlineLevel="0" r="41">
      <c r="A41" s="3">
        <v>34060</v>
      </c>
      <c r="B41" s="199">
        <v>1602.1</v>
      </c>
    </row>
    <row ht="13.8" outlineLevel="0" r="42">
      <c r="A42" s="3">
        <v>34090</v>
      </c>
      <c r="B42" s="199">
        <v>2053.6</v>
      </c>
    </row>
    <row ht="13.8" outlineLevel="0" r="43">
      <c r="A43" s="3">
        <v>34121</v>
      </c>
      <c r="B43" s="199">
        <v>2629.5</v>
      </c>
    </row>
    <row ht="13.8" outlineLevel="0" r="44">
      <c r="A44" s="3">
        <v>34151</v>
      </c>
      <c r="B44" s="199">
        <v>3424.9</v>
      </c>
    </row>
    <row ht="13.8" outlineLevel="0" r="45">
      <c r="A45" s="3">
        <v>34182</v>
      </c>
      <c r="B45" s="199">
        <v>4517.7</v>
      </c>
    </row>
    <row ht="13.8" outlineLevel="0" r="46">
      <c r="A46" s="3">
        <v>34213</v>
      </c>
      <c r="B46" s="199">
        <v>6025.3</v>
      </c>
    </row>
    <row ht="13.8" outlineLevel="0" r="47">
      <c r="A47" s="3">
        <v>34243</v>
      </c>
      <c r="B47" s="199">
        <v>8007.5</v>
      </c>
    </row>
    <row ht="13.8" outlineLevel="0" r="48">
      <c r="A48" s="3">
        <v>34274</v>
      </c>
      <c r="B48" s="199">
        <v>10689.9</v>
      </c>
    </row>
    <row ht="13.8" outlineLevel="0" r="49">
      <c r="A49" s="3">
        <v>34304</v>
      </c>
      <c r="B49" s="199">
        <v>14097.1</v>
      </c>
    </row>
    <row ht="13.8" outlineLevel="0" r="50">
      <c r="A50" s="3">
        <v>34335</v>
      </c>
      <c r="B50" s="199">
        <v>18495.9</v>
      </c>
    </row>
    <row ht="13.8" outlineLevel="0" r="51">
      <c r="A51" s="3">
        <v>34366</v>
      </c>
      <c r="B51" s="199">
        <v>24082</v>
      </c>
    </row>
    <row ht="13.8" outlineLevel="0" r="52">
      <c r="A52" s="3">
        <v>34394</v>
      </c>
      <c r="B52" s="199">
        <v>32307.8</v>
      </c>
    </row>
    <row ht="13.8" outlineLevel="0" r="53">
      <c r="A53" s="3">
        <v>34425</v>
      </c>
      <c r="B53" s="199">
        <v>44768.5</v>
      </c>
    </row>
    <row ht="13.8" outlineLevel="0" r="54">
      <c r="A54" s="3">
        <v>34455</v>
      </c>
      <c r="B54" s="199">
        <v>64791</v>
      </c>
    </row>
    <row ht="13.8" outlineLevel="0" r="55">
      <c r="A55" s="3">
        <v>34486</v>
      </c>
      <c r="B55" s="199">
        <v>97304.2</v>
      </c>
    </row>
    <row ht="13.8" outlineLevel="0" r="56">
      <c r="A56" s="3">
        <v>34516</v>
      </c>
      <c r="B56" s="199">
        <v>137250.8</v>
      </c>
    </row>
    <row ht="13.8" outlineLevel="0" r="57">
      <c r="A57" s="3">
        <v>34547</v>
      </c>
      <c r="B57" s="199">
        <v>179974.6</v>
      </c>
    </row>
    <row ht="13.8" outlineLevel="0" r="58">
      <c r="A58" s="3">
        <v>34578</v>
      </c>
      <c r="B58" s="199">
        <v>222232.5</v>
      </c>
    </row>
    <row ht="13.8" outlineLevel="0" r="59">
      <c r="A59" s="3">
        <v>34608</v>
      </c>
      <c r="B59" s="199">
        <v>265396.1</v>
      </c>
    </row>
    <row ht="13.8" outlineLevel="0" r="60">
      <c r="A60" s="3">
        <v>34639</v>
      </c>
      <c r="B60" s="199">
        <v>308529.4</v>
      </c>
    </row>
    <row ht="13.8" outlineLevel="0" r="61">
      <c r="A61" s="3">
        <v>34669</v>
      </c>
      <c r="B61" s="199">
        <v>349204.7</v>
      </c>
    </row>
    <row ht="13.8" outlineLevel="0" r="62">
      <c r="A62" s="3">
        <v>34700</v>
      </c>
      <c r="B62" s="199">
        <v>391670.5</v>
      </c>
    </row>
    <row ht="13.8" outlineLevel="0" r="63">
      <c r="A63" s="3">
        <v>34731</v>
      </c>
      <c r="B63" s="199">
        <v>435832</v>
      </c>
    </row>
    <row ht="13.8" outlineLevel="0" r="64">
      <c r="A64" s="3">
        <v>34759</v>
      </c>
      <c r="B64" s="199">
        <v>487335.9</v>
      </c>
    </row>
    <row ht="13.8" outlineLevel="0" r="65">
      <c r="A65" s="3">
        <v>34790</v>
      </c>
      <c r="B65" s="199">
        <v>532296.6</v>
      </c>
    </row>
    <row ht="13.8" outlineLevel="0" r="66">
      <c r="A66" s="3">
        <v>34820</v>
      </c>
      <c r="B66" s="199">
        <v>568142.9</v>
      </c>
    </row>
    <row ht="13.8" outlineLevel="0" r="67">
      <c r="A67" s="3">
        <v>34851</v>
      </c>
      <c r="B67" s="199">
        <v>591742.5</v>
      </c>
    </row>
    <row ht="13.8" outlineLevel="0" r="68">
      <c r="A68" s="3">
        <v>34881</v>
      </c>
      <c r="B68" s="199">
        <v>609742.5</v>
      </c>
    </row>
    <row ht="13.8" outlineLevel="0" r="69">
      <c r="A69" s="3">
        <v>34912</v>
      </c>
      <c r="B69" s="199">
        <v>626819.5</v>
      </c>
    </row>
    <row ht="13.8" outlineLevel="0" r="70">
      <c r="A70" s="3">
        <v>34943</v>
      </c>
      <c r="B70" s="199">
        <v>643594.1</v>
      </c>
    </row>
    <row ht="13.8" outlineLevel="0" r="71">
      <c r="A71" s="3">
        <v>34973</v>
      </c>
      <c r="B71" s="199">
        <v>661787.3</v>
      </c>
    </row>
    <row ht="13.8" outlineLevel="0" r="72">
      <c r="A72" s="3">
        <v>35004</v>
      </c>
      <c r="B72" s="199">
        <v>683624.1</v>
      </c>
    </row>
    <row ht="13.8" outlineLevel="0" r="73">
      <c r="A73" s="3">
        <v>35034</v>
      </c>
      <c r="B73" s="199">
        <v>705991.6</v>
      </c>
    </row>
    <row ht="13.8" outlineLevel="0" r="74">
      <c r="A74" s="3">
        <v>35065</v>
      </c>
      <c r="B74" s="199">
        <v>723096.2</v>
      </c>
    </row>
    <row ht="13.8" outlineLevel="0" r="75">
      <c r="A75" s="3">
        <v>35096</v>
      </c>
      <c r="B75" s="199">
        <v>735343.8</v>
      </c>
    </row>
    <row ht="13.8" outlineLevel="0" r="76">
      <c r="A76" s="3">
        <v>35125</v>
      </c>
      <c r="B76" s="199">
        <v>738307.4</v>
      </c>
    </row>
    <row ht="13.8" outlineLevel="0" r="77">
      <c r="A77" s="3">
        <v>35156</v>
      </c>
      <c r="B77" s="199">
        <v>744537</v>
      </c>
    </row>
    <row ht="13.8" outlineLevel="0" r="78">
      <c r="A78" s="3">
        <v>35186</v>
      </c>
      <c r="B78" s="199">
        <v>757675.1</v>
      </c>
    </row>
    <row ht="13.8" outlineLevel="0" r="79">
      <c r="A79" s="3">
        <v>35217</v>
      </c>
      <c r="B79" s="199">
        <v>772051.9</v>
      </c>
    </row>
    <row ht="13.8" outlineLevel="0" r="80">
      <c r="A80" s="3">
        <v>35247</v>
      </c>
      <c r="B80" s="199">
        <v>788233.8</v>
      </c>
    </row>
    <row ht="13.8" outlineLevel="0" r="81">
      <c r="A81" s="3">
        <v>35278</v>
      </c>
      <c r="B81" s="199">
        <v>802082.2</v>
      </c>
    </row>
    <row ht="13.8" outlineLevel="0" r="82">
      <c r="A82" s="3">
        <v>35309</v>
      </c>
      <c r="B82" s="199">
        <v>813215.9</v>
      </c>
    </row>
    <row ht="13.8" outlineLevel="0" r="83">
      <c r="A83" s="3">
        <v>35339</v>
      </c>
      <c r="B83" s="199">
        <v>826987.9</v>
      </c>
    </row>
    <row ht="13.8" outlineLevel="0" r="84">
      <c r="A84" s="3">
        <v>35370</v>
      </c>
      <c r="B84" s="199">
        <v>839674.2</v>
      </c>
    </row>
    <row ht="13.8" outlineLevel="0" r="85">
      <c r="A85" s="3">
        <v>35400</v>
      </c>
      <c r="B85" s="199">
        <v>854763.6</v>
      </c>
    </row>
    <row ht="13.8" outlineLevel="0" r="86">
      <c r="A86" s="3">
        <v>35431</v>
      </c>
      <c r="B86" s="199">
        <v>868213</v>
      </c>
    </row>
    <row ht="13.8" outlineLevel="0" r="87">
      <c r="A87" s="3">
        <v>35462</v>
      </c>
      <c r="B87" s="199">
        <v>877083.6</v>
      </c>
    </row>
    <row ht="13.8" outlineLevel="0" r="88">
      <c r="A88" s="3">
        <v>35490</v>
      </c>
      <c r="B88" s="199">
        <v>884557.4</v>
      </c>
    </row>
    <row ht="13.8" outlineLevel="0" r="89">
      <c r="A89" s="3">
        <v>35521</v>
      </c>
      <c r="B89" s="199">
        <v>894114.7</v>
      </c>
    </row>
    <row ht="13.8" outlineLevel="0" r="90">
      <c r="A90" s="3">
        <v>35551</v>
      </c>
      <c r="B90" s="199">
        <v>902736.7</v>
      </c>
    </row>
    <row ht="13.8" outlineLevel="0" r="91">
      <c r="A91" s="3">
        <v>35582</v>
      </c>
      <c r="B91" s="199">
        <v>912836.2</v>
      </c>
    </row>
    <row ht="13.8" outlineLevel="0" r="92">
      <c r="A92" s="3">
        <v>35612</v>
      </c>
      <c r="B92" s="199">
        <v>919924.9</v>
      </c>
    </row>
    <row ht="13.8" outlineLevel="0" r="93">
      <c r="A93" s="3">
        <v>35643</v>
      </c>
      <c r="B93" s="199">
        <v>927258.7</v>
      </c>
    </row>
    <row ht="13.8" outlineLevel="0" r="94">
      <c r="A94" s="3">
        <v>35674</v>
      </c>
      <c r="B94" s="199">
        <v>937501.4</v>
      </c>
    </row>
    <row ht="13.8" outlineLevel="0" r="95">
      <c r="A95" s="3">
        <v>35704</v>
      </c>
      <c r="B95" s="199">
        <v>947598.5</v>
      </c>
    </row>
    <row ht="13.8" outlineLevel="0" r="96">
      <c r="A96" s="3">
        <v>35735</v>
      </c>
      <c r="B96" s="199">
        <v>952539.5</v>
      </c>
    </row>
    <row ht="13.8" outlineLevel="0" r="97">
      <c r="A97" s="3">
        <v>35765</v>
      </c>
      <c r="B97" s="199">
        <v>952089.2</v>
      </c>
    </row>
    <row ht="13.8" outlineLevel="0" r="98">
      <c r="A98" s="3">
        <v>35796</v>
      </c>
      <c r="B98" s="199">
        <v>953870.4</v>
      </c>
    </row>
    <row ht="13.8" outlineLevel="0" r="99">
      <c r="A99" s="3">
        <v>35827</v>
      </c>
      <c r="B99" s="199">
        <v>958625.8</v>
      </c>
    </row>
    <row ht="13.8" outlineLevel="0" r="100">
      <c r="A100" s="3">
        <v>35855</v>
      </c>
      <c r="B100" s="199">
        <v>968672.8</v>
      </c>
    </row>
    <row ht="13.8" outlineLevel="0" r="101">
      <c r="A101" s="3">
        <v>35886</v>
      </c>
      <c r="B101" s="199">
        <v>976262.5</v>
      </c>
    </row>
    <row ht="13.8" outlineLevel="0" r="102">
      <c r="A102" s="3">
        <v>35916</v>
      </c>
      <c r="B102" s="199">
        <v>983359.2</v>
      </c>
    </row>
    <row ht="13.8" outlineLevel="0" r="103">
      <c r="A103" s="3">
        <v>35947</v>
      </c>
      <c r="B103" s="199">
        <v>987719.2</v>
      </c>
    </row>
    <row ht="13.8" outlineLevel="0" r="104">
      <c r="A104" s="3">
        <v>35977</v>
      </c>
      <c r="B104" s="199">
        <v>992599</v>
      </c>
    </row>
    <row ht="13.8" outlineLevel="0" r="105">
      <c r="A105" s="3">
        <v>36008</v>
      </c>
      <c r="B105" s="199">
        <v>996837.8</v>
      </c>
    </row>
    <row ht="13.8" outlineLevel="0" r="106">
      <c r="A106" s="3">
        <v>36039</v>
      </c>
      <c r="B106" s="199">
        <v>999584</v>
      </c>
    </row>
    <row ht="13.8" outlineLevel="0" r="107">
      <c r="A107" s="3">
        <v>36069</v>
      </c>
      <c r="B107" s="199">
        <v>999589.6</v>
      </c>
    </row>
    <row ht="13.8" outlineLevel="0" r="108">
      <c r="A108" s="3">
        <v>36100</v>
      </c>
      <c r="B108" s="199">
        <v>1000516</v>
      </c>
    </row>
    <row ht="13.8" outlineLevel="0" r="109">
      <c r="A109" s="3">
        <v>36130</v>
      </c>
      <c r="B109" s="199">
        <v>1002351</v>
      </c>
    </row>
    <row ht="13.8" outlineLevel="0" r="110">
      <c r="A110" s="3">
        <v>36161</v>
      </c>
      <c r="B110" s="199">
        <v>1003923.4</v>
      </c>
    </row>
    <row ht="13.8" outlineLevel="0" r="111">
      <c r="A111" s="3">
        <v>36192</v>
      </c>
      <c r="B111" s="199">
        <v>1009024.4</v>
      </c>
    </row>
    <row ht="13.8" outlineLevel="0" r="112">
      <c r="A112" s="3">
        <v>36220</v>
      </c>
      <c r="B112" s="199">
        <v>1017318.3</v>
      </c>
    </row>
    <row ht="13.8" outlineLevel="0" r="113">
      <c r="A113" s="3">
        <v>36251</v>
      </c>
      <c r="B113" s="199">
        <v>1023891.3</v>
      </c>
    </row>
    <row ht="13.8" outlineLevel="0" r="114">
      <c r="A114" s="3">
        <v>36281</v>
      </c>
      <c r="B114" s="199">
        <v>1027906.8</v>
      </c>
    </row>
    <row ht="13.8" outlineLevel="0" r="115">
      <c r="A115" s="3">
        <v>36312</v>
      </c>
      <c r="B115" s="199">
        <v>1034091.4</v>
      </c>
    </row>
    <row ht="13.8" outlineLevel="0" r="116">
      <c r="A116" s="3">
        <v>36342</v>
      </c>
      <c r="B116" s="199">
        <v>1038383.3</v>
      </c>
    </row>
    <row ht="13.8" outlineLevel="0" r="117">
      <c r="A117" s="3">
        <v>36373</v>
      </c>
      <c r="B117" s="199">
        <v>1044295.4</v>
      </c>
    </row>
    <row ht="13.8" outlineLevel="0" r="118">
      <c r="A118" s="3">
        <v>36404</v>
      </c>
      <c r="B118" s="199">
        <v>1050173.6</v>
      </c>
    </row>
    <row ht="13.8" outlineLevel="0" r="119">
      <c r="A119" s="3">
        <v>36434</v>
      </c>
      <c r="B119" s="199">
        <v>1058743.2</v>
      </c>
    </row>
    <row ht="13.8" outlineLevel="0" r="120">
      <c r="A120" s="3">
        <v>36465</v>
      </c>
      <c r="B120" s="199">
        <v>1071989.7</v>
      </c>
    </row>
    <row ht="13.8" outlineLevel="0" r="121">
      <c r="A121" s="3">
        <v>36495</v>
      </c>
      <c r="B121" s="199">
        <v>1087710.5</v>
      </c>
    </row>
    <row ht="13.8" outlineLevel="0" r="122">
      <c r="A122" s="3">
        <v>36526</v>
      </c>
      <c r="B122" s="199">
        <v>1099350.8</v>
      </c>
    </row>
    <row ht="13.8" outlineLevel="0" r="123">
      <c r="A123" s="3">
        <v>36557</v>
      </c>
      <c r="B123" s="199">
        <v>1110192.1</v>
      </c>
    </row>
    <row ht="13.8" outlineLevel="0" r="124">
      <c r="A124" s="3">
        <v>36586</v>
      </c>
      <c r="B124" s="199">
        <v>1113969.4</v>
      </c>
    </row>
    <row ht="13.8" outlineLevel="0" r="125">
      <c r="A125" s="3">
        <v>36617</v>
      </c>
      <c r="B125" s="199">
        <v>1117606.6</v>
      </c>
    </row>
    <row ht="13.8" outlineLevel="0" r="126">
      <c r="A126" s="3">
        <v>36647</v>
      </c>
      <c r="B126" s="199">
        <v>1127110.5</v>
      </c>
    </row>
    <row ht="13.8" outlineLevel="0" r="127">
      <c r="A127" s="3">
        <v>36678</v>
      </c>
      <c r="B127" s="199">
        <v>1138049</v>
      </c>
    </row>
    <row ht="13.8" outlineLevel="0" r="128">
      <c r="A128" s="3">
        <v>36708</v>
      </c>
      <c r="B128" s="199">
        <v>1150228.9</v>
      </c>
    </row>
    <row ht="13.8" outlineLevel="0" r="129">
      <c r="A129" s="3">
        <v>36739</v>
      </c>
      <c r="B129" s="199">
        <v>1163123.4</v>
      </c>
    </row>
    <row ht="13.8" outlineLevel="0" r="130">
      <c r="A130" s="3">
        <v>36770</v>
      </c>
      <c r="B130" s="199">
        <v>1172819.2</v>
      </c>
    </row>
    <row ht="13.8" outlineLevel="0" r="131">
      <c r="A131" s="3">
        <v>36800</v>
      </c>
      <c r="B131" s="199">
        <v>1183898</v>
      </c>
    </row>
    <row ht="13.8" outlineLevel="0" r="132">
      <c r="A132" s="3">
        <v>36831</v>
      </c>
      <c r="B132" s="199">
        <v>1192012.9</v>
      </c>
    </row>
    <row ht="13.8" outlineLevel="0" r="133">
      <c r="A133" s="3">
        <v>36861</v>
      </c>
      <c r="B133" s="199">
        <v>1199092.1</v>
      </c>
    </row>
    <row ht="13.8" outlineLevel="0" r="134">
      <c r="A134" s="3">
        <v>36892</v>
      </c>
      <c r="B134" s="199">
        <v>1209046.1</v>
      </c>
    </row>
    <row ht="13.8" outlineLevel="0" r="135">
      <c r="A135" s="3">
        <v>36923</v>
      </c>
      <c r="B135" s="199">
        <v>1218911</v>
      </c>
    </row>
    <row ht="13.8" outlineLevel="0" r="136">
      <c r="A136" s="3">
        <v>36951</v>
      </c>
      <c r="B136" s="199">
        <v>1234635</v>
      </c>
    </row>
    <row ht="13.8" outlineLevel="0" r="137">
      <c r="A137" s="3">
        <v>36982</v>
      </c>
      <c r="B137" s="199">
        <v>1250830.7</v>
      </c>
    </row>
    <row ht="13.8" outlineLevel="0" r="138">
      <c r="A138" s="3">
        <v>37012</v>
      </c>
      <c r="B138" s="199">
        <v>1263306</v>
      </c>
    </row>
    <row ht="13.8" outlineLevel="0" r="139">
      <c r="A139" s="3">
        <v>37043</v>
      </c>
      <c r="B139" s="199">
        <v>1265570</v>
      </c>
    </row>
    <row ht="13.8" outlineLevel="0" r="140">
      <c r="A140" s="3">
        <v>37073</v>
      </c>
      <c r="B140" s="199">
        <v>1272918.6</v>
      </c>
    </row>
    <row ht="13.8" outlineLevel="0" r="141">
      <c r="A141" s="3">
        <v>37104</v>
      </c>
      <c r="B141" s="199">
        <v>1280805.4</v>
      </c>
    </row>
    <row ht="13.8" outlineLevel="0" r="142">
      <c r="A142" s="3">
        <v>37135</v>
      </c>
      <c r="B142" s="199">
        <v>1289198.6</v>
      </c>
    </row>
    <row ht="13.8" outlineLevel="0" r="143">
      <c r="A143" s="3">
        <v>37165</v>
      </c>
      <c r="B143" s="199">
        <v>1298386.5</v>
      </c>
    </row>
    <row ht="13.8" outlineLevel="0" r="144">
      <c r="A144" s="3">
        <v>37196</v>
      </c>
      <c r="B144" s="199">
        <v>1308590.4</v>
      </c>
    </row>
    <row ht="13.8" outlineLevel="0" r="145">
      <c r="A145" s="3">
        <v>37226</v>
      </c>
      <c r="B145" s="199">
        <v>1315755.5</v>
      </c>
    </row>
    <row ht="13.8" outlineLevel="0" r="146">
      <c r="A146" s="3">
        <v>37257</v>
      </c>
      <c r="B146" s="199">
        <v>1325599.6</v>
      </c>
    </row>
    <row ht="13.8" outlineLevel="0" r="147">
      <c r="A147" s="3">
        <v>37288</v>
      </c>
      <c r="B147" s="199">
        <v>1335441.4</v>
      </c>
    </row>
    <row ht="13.8" outlineLevel="0" r="148">
      <c r="A148" s="3">
        <v>37316</v>
      </c>
      <c r="B148" s="199">
        <v>1345582.3</v>
      </c>
    </row>
    <row ht="13.8" outlineLevel="0" r="149">
      <c r="A149" s="3">
        <v>37347</v>
      </c>
      <c r="B149" s="199">
        <v>1358396.3</v>
      </c>
    </row>
    <row ht="13.8" outlineLevel="0" r="150">
      <c r="A150" s="3">
        <v>37377</v>
      </c>
      <c r="B150" s="199">
        <v>1370746.6</v>
      </c>
    </row>
    <row ht="13.8" outlineLevel="0" r="151">
      <c r="A151" s="3">
        <v>37408</v>
      </c>
      <c r="B151" s="199">
        <v>1389221.6</v>
      </c>
    </row>
    <row ht="13.8" outlineLevel="0" r="152">
      <c r="A152" s="3">
        <v>37438</v>
      </c>
      <c r="B152" s="199">
        <v>1405319.2</v>
      </c>
    </row>
    <row ht="13.8" outlineLevel="0" r="153">
      <c r="A153" s="3">
        <v>37469</v>
      </c>
      <c r="B153" s="199">
        <v>1420054.7</v>
      </c>
    </row>
    <row ht="13.8" outlineLevel="0" r="154">
      <c r="A154" s="3">
        <v>37500</v>
      </c>
      <c r="B154" s="199">
        <v>1436491.7</v>
      </c>
    </row>
    <row ht="13.8" outlineLevel="0" r="155">
      <c r="A155" s="3">
        <v>37530</v>
      </c>
      <c r="B155" s="199">
        <v>1453478.1</v>
      </c>
    </row>
    <row ht="13.8" outlineLevel="0" r="156">
      <c r="A156" s="3">
        <v>37561</v>
      </c>
      <c r="B156" s="199">
        <v>1471562.8</v>
      </c>
    </row>
    <row ht="13.8" outlineLevel="0" r="157">
      <c r="A157" s="3">
        <v>37591</v>
      </c>
      <c r="B157" s="199">
        <v>1488787.3</v>
      </c>
    </row>
    <row ht="13.8" outlineLevel="0" r="158">
      <c r="A158" s="3">
        <v>37622</v>
      </c>
      <c r="B158" s="199">
        <v>1503589.9</v>
      </c>
    </row>
    <row ht="13.8" outlineLevel="0" r="159">
      <c r="A159" s="3">
        <v>37653</v>
      </c>
      <c r="B159" s="199">
        <v>1523486.4</v>
      </c>
    </row>
    <row ht="13.8" outlineLevel="0" r="160">
      <c r="A160" s="3">
        <v>37681</v>
      </c>
      <c r="B160" s="199">
        <v>1543732.2</v>
      </c>
    </row>
    <row ht="13.8" outlineLevel="0" r="161">
      <c r="A161" s="3">
        <v>37712</v>
      </c>
      <c r="B161" s="199">
        <v>1564734.4</v>
      </c>
    </row>
    <row ht="13.8" outlineLevel="0" r="162">
      <c r="A162" s="3">
        <v>37742</v>
      </c>
      <c r="B162" s="199">
        <v>1580787.7</v>
      </c>
    </row>
    <row ht="13.8" outlineLevel="0" r="163">
      <c r="A163" s="3">
        <v>37773</v>
      </c>
      <c r="B163" s="199">
        <v>1595356.7</v>
      </c>
    </row>
    <row ht="13.8" outlineLevel="0" r="164">
      <c r="A164" s="3">
        <v>37803</v>
      </c>
      <c r="B164" s="199">
        <v>1614470.7</v>
      </c>
    </row>
    <row ht="13.8" outlineLevel="0" r="165">
      <c r="A165" s="3">
        <v>37834</v>
      </c>
      <c r="B165" s="199">
        <v>1631490</v>
      </c>
    </row>
    <row ht="13.8" outlineLevel="0" r="166">
      <c r="A166" s="3">
        <v>37865</v>
      </c>
      <c r="B166" s="199">
        <v>1654912</v>
      </c>
    </row>
    <row ht="13.8" outlineLevel="0" r="167">
      <c r="A167" s="3">
        <v>37895</v>
      </c>
      <c r="B167" s="199">
        <v>1676712.4</v>
      </c>
    </row>
    <row ht="13.8" outlineLevel="0" r="168">
      <c r="A168" s="3">
        <v>37926</v>
      </c>
      <c r="B168" s="199">
        <v>1694390.2</v>
      </c>
    </row>
    <row ht="13.8" outlineLevel="0" r="169">
      <c r="A169" s="3">
        <v>37956</v>
      </c>
      <c r="B169" s="199">
        <v>1717950.4</v>
      </c>
    </row>
    <row ht="13.8" outlineLevel="0" r="170">
      <c r="A170" s="3">
        <v>37987</v>
      </c>
      <c r="B170" s="199">
        <v>1735331.5</v>
      </c>
    </row>
    <row ht="13.8" outlineLevel="0" r="171">
      <c r="A171" s="3">
        <v>38018</v>
      </c>
      <c r="B171" s="199">
        <v>1746819.2</v>
      </c>
    </row>
    <row ht="13.8" outlineLevel="0" r="172">
      <c r="A172" s="3">
        <v>38047</v>
      </c>
      <c r="B172" s="199">
        <v>1765492.2</v>
      </c>
    </row>
    <row ht="13.8" outlineLevel="0" r="173">
      <c r="A173" s="3">
        <v>38078</v>
      </c>
      <c r="B173" s="199">
        <v>1781058</v>
      </c>
    </row>
    <row ht="13.8" outlineLevel="0" r="174">
      <c r="A174" s="3">
        <v>38108</v>
      </c>
      <c r="B174" s="199">
        <v>1800951.1</v>
      </c>
    </row>
    <row ht="13.8" outlineLevel="0" r="175">
      <c r="A175" s="3">
        <v>38139</v>
      </c>
      <c r="B175" s="199">
        <v>1828299.9</v>
      </c>
    </row>
    <row ht="13.8" outlineLevel="0" r="176">
      <c r="A176" s="3">
        <v>38169</v>
      </c>
      <c r="B176" s="199">
        <v>1853700.2</v>
      </c>
    </row>
    <row ht="13.8" outlineLevel="0" r="177">
      <c r="A177" s="3">
        <v>38200</v>
      </c>
      <c r="B177" s="199">
        <v>1878059.7</v>
      </c>
    </row>
    <row ht="13.8" outlineLevel="0" r="178">
      <c r="A178" s="3">
        <v>38231</v>
      </c>
      <c r="B178" s="199">
        <v>1894202.4</v>
      </c>
    </row>
    <row ht="13.8" outlineLevel="0" r="179">
      <c r="A179" s="3">
        <v>38261</v>
      </c>
      <c r="B179" s="199">
        <v>1909813</v>
      </c>
    </row>
    <row ht="13.8" outlineLevel="0" r="180">
      <c r="A180" s="3">
        <v>38292</v>
      </c>
      <c r="B180" s="199">
        <v>1933090.2</v>
      </c>
    </row>
    <row ht="13.8" outlineLevel="0" r="181">
      <c r="A181" s="3">
        <v>38322</v>
      </c>
      <c r="B181" s="199">
        <v>1957751.2</v>
      </c>
    </row>
    <row ht="13.8" outlineLevel="0" r="182">
      <c r="A182" s="3">
        <v>38353</v>
      </c>
      <c r="B182" s="199">
        <v>1976732.7</v>
      </c>
    </row>
    <row ht="13.8" outlineLevel="0" r="183">
      <c r="A183" s="3">
        <v>38384</v>
      </c>
      <c r="B183" s="199">
        <v>1994573</v>
      </c>
    </row>
    <row ht="13.8" outlineLevel="0" r="184">
      <c r="A184" s="3">
        <v>38412</v>
      </c>
      <c r="B184" s="199">
        <v>2012678.1</v>
      </c>
    </row>
    <row ht="13.8" outlineLevel="0" r="185">
      <c r="A185" s="3">
        <v>38443</v>
      </c>
      <c r="B185" s="199">
        <v>2032903.2</v>
      </c>
    </row>
    <row ht="13.8" outlineLevel="0" r="186">
      <c r="A186" s="3">
        <v>38473</v>
      </c>
      <c r="B186" s="199">
        <v>2050901</v>
      </c>
    </row>
    <row ht="13.8" outlineLevel="0" r="187">
      <c r="A187" s="3">
        <v>38504</v>
      </c>
      <c r="B187" s="199">
        <v>2066440.6</v>
      </c>
    </row>
    <row ht="13.8" outlineLevel="0" r="188">
      <c r="A188" s="3">
        <v>38534</v>
      </c>
      <c r="B188" s="199">
        <v>2079143.4</v>
      </c>
    </row>
    <row ht="13.8" outlineLevel="0" r="189">
      <c r="A189" s="3">
        <v>38565</v>
      </c>
      <c r="B189" s="199">
        <v>2097211.1</v>
      </c>
    </row>
    <row ht="13.8" outlineLevel="0" r="190">
      <c r="A190" s="3">
        <v>38596</v>
      </c>
      <c r="B190" s="199">
        <v>2114047.4</v>
      </c>
    </row>
    <row ht="13.8" outlineLevel="0" r="191">
      <c r="A191" s="3">
        <v>38626</v>
      </c>
      <c r="B191" s="199">
        <v>2132693.9</v>
      </c>
    </row>
    <row ht="13.8" outlineLevel="0" r="192">
      <c r="A192" s="3">
        <v>38657</v>
      </c>
      <c r="B192" s="199">
        <v>2150566.9</v>
      </c>
    </row>
    <row ht="13.8" outlineLevel="0" r="193">
      <c r="A193" s="3">
        <v>38687</v>
      </c>
      <c r="B193" s="199">
        <v>2170584.5</v>
      </c>
    </row>
    <row ht="13.8" outlineLevel="0" r="194">
      <c r="A194" s="3">
        <v>38718</v>
      </c>
      <c r="B194" s="199">
        <v>2192609.2</v>
      </c>
    </row>
    <row ht="13.8" outlineLevel="0" r="195">
      <c r="A195" s="3">
        <v>38749</v>
      </c>
      <c r="B195" s="199">
        <v>2210389.7</v>
      </c>
    </row>
    <row ht="13.8" outlineLevel="0" r="196">
      <c r="A196" s="3">
        <v>38777</v>
      </c>
      <c r="B196" s="199">
        <v>2225144.4</v>
      </c>
    </row>
    <row ht="13.8" outlineLevel="0" r="197">
      <c r="A197" s="3">
        <v>38808</v>
      </c>
      <c r="B197" s="199">
        <v>2232996</v>
      </c>
    </row>
    <row ht="13.8" outlineLevel="0" r="198">
      <c r="A198" s="3">
        <v>38838</v>
      </c>
      <c r="B198" s="199">
        <v>2253373.6</v>
      </c>
    </row>
    <row ht="13.8" outlineLevel="0" r="199">
      <c r="A199" s="3">
        <v>38869</v>
      </c>
      <c r="B199" s="199">
        <v>2271563.6</v>
      </c>
    </row>
    <row ht="13.8" outlineLevel="0" r="200">
      <c r="A200" s="3">
        <v>38899</v>
      </c>
      <c r="B200" s="199">
        <v>2294464.3</v>
      </c>
    </row>
    <row ht="13.8" outlineLevel="0" r="201">
      <c r="A201" s="3">
        <v>38930</v>
      </c>
      <c r="B201" s="199">
        <v>2317035.7</v>
      </c>
    </row>
    <row ht="13.8" outlineLevel="0" r="202">
      <c r="A202" s="3">
        <v>38961</v>
      </c>
      <c r="B202" s="199">
        <v>2336552.2</v>
      </c>
    </row>
    <row ht="13.8" outlineLevel="0" r="203">
      <c r="A203" s="3">
        <v>38991</v>
      </c>
      <c r="B203" s="199">
        <v>2361640.9</v>
      </c>
    </row>
    <row ht="13.8" outlineLevel="0" r="204">
      <c r="A204" s="3">
        <v>39022</v>
      </c>
      <c r="B204" s="199">
        <v>2386570.6</v>
      </c>
    </row>
    <row ht="13.8" outlineLevel="0" r="205">
      <c r="A205" s="3">
        <v>39052</v>
      </c>
      <c r="B205" s="199">
        <v>2409449.9</v>
      </c>
    </row>
    <row ht="13.8" outlineLevel="0" r="206">
      <c r="A206" s="3">
        <v>39083</v>
      </c>
      <c r="B206" s="199">
        <v>2435015.8</v>
      </c>
    </row>
    <row ht="13.8" outlineLevel="0" r="207">
      <c r="A207" s="3">
        <v>39114</v>
      </c>
      <c r="B207" s="199">
        <v>2459237.7</v>
      </c>
    </row>
    <row ht="13.8" outlineLevel="0" r="208">
      <c r="A208" s="3">
        <v>39142</v>
      </c>
      <c r="B208" s="199">
        <v>2486603.3</v>
      </c>
    </row>
    <row ht="13.8" outlineLevel="0" r="209">
      <c r="A209" s="3">
        <v>39173</v>
      </c>
      <c r="B209" s="199">
        <v>2516701.6</v>
      </c>
    </row>
    <row ht="13.8" outlineLevel="0" r="210">
      <c r="A210" s="3">
        <v>39203</v>
      </c>
      <c r="B210" s="199">
        <v>2545365.2</v>
      </c>
    </row>
    <row ht="13.8" outlineLevel="0" r="211">
      <c r="A211" s="3">
        <v>39234</v>
      </c>
      <c r="B211" s="199">
        <v>2575281.9</v>
      </c>
    </row>
    <row ht="13.8" outlineLevel="0" r="212">
      <c r="A212" s="3">
        <v>39264</v>
      </c>
      <c r="B212" s="199">
        <v>2602131.6</v>
      </c>
    </row>
    <row ht="13.8" outlineLevel="0" r="213">
      <c r="A213" s="3">
        <v>39295</v>
      </c>
      <c r="B213" s="199">
        <v>2627332.8</v>
      </c>
    </row>
    <row ht="13.8" outlineLevel="0" r="214">
      <c r="A214" s="3">
        <v>39326</v>
      </c>
      <c r="B214" s="199">
        <v>2649280.2</v>
      </c>
    </row>
    <row ht="13.8" outlineLevel="0" r="215">
      <c r="A215" s="3">
        <v>39356</v>
      </c>
      <c r="B215" s="199">
        <v>2676947.9</v>
      </c>
    </row>
    <row ht="13.8" outlineLevel="0" r="216">
      <c r="A216" s="3">
        <v>39387</v>
      </c>
      <c r="B216" s="199">
        <v>2699162.1</v>
      </c>
    </row>
    <row ht="13.8" outlineLevel="0" r="217">
      <c r="A217" s="3">
        <v>39417</v>
      </c>
      <c r="B217" s="199">
        <v>2720262.9</v>
      </c>
    </row>
    <row ht="13.8" outlineLevel="0" r="218">
      <c r="A218" s="3">
        <v>39448</v>
      </c>
      <c r="B218" s="199">
        <v>2746380</v>
      </c>
    </row>
    <row ht="13.8" outlineLevel="0" r="219">
      <c r="A219" s="3">
        <v>39479</v>
      </c>
      <c r="B219" s="199">
        <v>2776356.3</v>
      </c>
    </row>
    <row ht="13.8" outlineLevel="0" r="220">
      <c r="A220" s="3">
        <v>39508</v>
      </c>
      <c r="B220" s="199">
        <v>2800891.8</v>
      </c>
    </row>
    <row ht="13.8" outlineLevel="0" r="221">
      <c r="A221" s="3">
        <v>39539</v>
      </c>
      <c r="B221" s="199">
        <v>2834556.8</v>
      </c>
    </row>
    <row ht="13.8" outlineLevel="0" r="222">
      <c r="A222" s="3">
        <v>39569</v>
      </c>
      <c r="B222" s="199">
        <v>2862955.9</v>
      </c>
    </row>
    <row ht="13.8" outlineLevel="0" r="223">
      <c r="A223" s="3">
        <v>39600</v>
      </c>
      <c r="B223" s="199">
        <v>2899758.4</v>
      </c>
    </row>
    <row ht="13.8" outlineLevel="0" r="224">
      <c r="A224" s="3">
        <v>39630</v>
      </c>
      <c r="B224" s="199">
        <v>2944030</v>
      </c>
    </row>
    <row ht="13.8" outlineLevel="0" r="225">
      <c r="A225" s="3">
        <v>39661</v>
      </c>
      <c r="B225" s="199">
        <v>2978255.1</v>
      </c>
    </row>
    <row ht="13.8" outlineLevel="0" r="226">
      <c r="A226" s="3">
        <v>39692</v>
      </c>
      <c r="B226" s="199">
        <v>3020522.3</v>
      </c>
    </row>
    <row ht="13.8" outlineLevel="0" r="227">
      <c r="A227" s="3">
        <v>39722</v>
      </c>
      <c r="B227" s="199">
        <v>3059105.4</v>
      </c>
    </row>
    <row ht="13.8" outlineLevel="0" r="228">
      <c r="A228" s="3">
        <v>39753</v>
      </c>
      <c r="B228" s="199">
        <v>3087863.3</v>
      </c>
    </row>
    <row ht="13.8" outlineLevel="0" r="229">
      <c r="A229" s="3">
        <v>39783</v>
      </c>
      <c r="B229" s="199">
        <v>3109803.1</v>
      </c>
    </row>
    <row ht="13.8" outlineLevel="0" r="230">
      <c r="A230" s="3">
        <v>39814</v>
      </c>
      <c r="B230" s="199">
        <v>3122486.9</v>
      </c>
    </row>
    <row ht="13.8" outlineLevel="0" r="231">
      <c r="A231" s="3">
        <v>39845</v>
      </c>
      <c r="B231" s="199">
        <v>3133825.9</v>
      </c>
    </row>
    <row ht="13.8" outlineLevel="0" r="232">
      <c r="A232" s="3">
        <v>39873</v>
      </c>
      <c r="B232" s="199">
        <v>3153875.1</v>
      </c>
    </row>
    <row ht="13.8" outlineLevel="0" r="233">
      <c r="A233" s="3">
        <v>39904</v>
      </c>
      <c r="B233" s="199">
        <v>3164637.8</v>
      </c>
    </row>
    <row ht="13.8" outlineLevel="0" r="234">
      <c r="A234" s="3">
        <v>39934</v>
      </c>
      <c r="B234" s="199">
        <v>3178020</v>
      </c>
    </row>
    <row ht="13.8" outlineLevel="0" r="235">
      <c r="A235" s="3">
        <v>39965</v>
      </c>
      <c r="B235" s="199">
        <v>3187927.6</v>
      </c>
    </row>
    <row ht="13.8" outlineLevel="0" r="236">
      <c r="A236" s="3">
        <v>39995</v>
      </c>
      <c r="B236" s="199">
        <v>3195271.3</v>
      </c>
    </row>
    <row ht="13.8" outlineLevel="0" r="237">
      <c r="A237" s="3">
        <v>40026</v>
      </c>
      <c r="B237" s="199">
        <v>3210275.9</v>
      </c>
    </row>
    <row ht="13.8" outlineLevel="0" r="238">
      <c r="A238" s="3">
        <v>40057</v>
      </c>
      <c r="B238" s="199">
        <v>3228168</v>
      </c>
    </row>
    <row ht="13.8" outlineLevel="0" r="239">
      <c r="A239" s="3">
        <v>40087</v>
      </c>
      <c r="B239" s="199">
        <v>3249541.6</v>
      </c>
    </row>
    <row ht="13.8" outlineLevel="0" r="240">
      <c r="A240" s="3">
        <v>40118</v>
      </c>
      <c r="B240" s="199">
        <v>3283901.4</v>
      </c>
    </row>
    <row ht="13.8" outlineLevel="0" r="241">
      <c r="A241" s="3">
        <v>40148</v>
      </c>
      <c r="B241" s="199">
        <v>3333039.4</v>
      </c>
    </row>
    <row ht="13.8" outlineLevel="0" r="242">
      <c r="A242" s="3">
        <v>40179</v>
      </c>
      <c r="B242" s="199">
        <v>3372087.7</v>
      </c>
    </row>
    <row ht="13.8" outlineLevel="0" r="243">
      <c r="A243" s="3">
        <v>40210</v>
      </c>
      <c r="B243" s="199">
        <v>3413806.6</v>
      </c>
    </row>
    <row ht="13.8" outlineLevel="0" r="244">
      <c r="A244" s="3">
        <v>40238</v>
      </c>
      <c r="B244" s="199">
        <v>3463309.6</v>
      </c>
    </row>
    <row ht="13.8" outlineLevel="0" r="245">
      <c r="A245" s="3">
        <v>40269</v>
      </c>
      <c r="B245" s="199">
        <v>3510858.7</v>
      </c>
    </row>
    <row ht="13.8" outlineLevel="0" r="246">
      <c r="A246" s="3">
        <v>40299</v>
      </c>
      <c r="B246" s="199">
        <v>3558543.7</v>
      </c>
    </row>
    <row ht="13.8" outlineLevel="0" r="247">
      <c r="A247" s="3">
        <v>40330</v>
      </c>
      <c r="B247" s="199">
        <v>3603877</v>
      </c>
    </row>
    <row ht="13.8" outlineLevel="0" r="248">
      <c r="A248" s="3">
        <v>40360</v>
      </c>
      <c r="B248" s="199">
        <v>3650909.3</v>
      </c>
    </row>
    <row ht="13.8" outlineLevel="0" r="249">
      <c r="A249" s="3">
        <v>40391</v>
      </c>
      <c r="B249" s="199">
        <v>3700894.1</v>
      </c>
    </row>
    <row ht="13.8" outlineLevel="0" r="250">
      <c r="A250" s="3">
        <v>40422</v>
      </c>
      <c r="B250" s="199">
        <v>3748968.6</v>
      </c>
    </row>
    <row ht="13.8" outlineLevel="0" r="251">
      <c r="A251" s="3">
        <v>40452</v>
      </c>
      <c r="B251" s="199">
        <v>3792038.4</v>
      </c>
    </row>
    <row ht="13.8" outlineLevel="0" r="252">
      <c r="A252" s="3">
        <v>40483</v>
      </c>
      <c r="B252" s="199">
        <v>3843656.2</v>
      </c>
    </row>
    <row ht="13.8" outlineLevel="0" r="253">
      <c r="A253" s="3">
        <v>40513</v>
      </c>
      <c r="B253" s="199">
        <v>3885847</v>
      </c>
    </row>
    <row ht="13.8" outlineLevel="0" r="254">
      <c r="A254" s="3">
        <v>40544</v>
      </c>
      <c r="B254" s="199">
        <v>3930197.1</v>
      </c>
    </row>
    <row ht="13.8" outlineLevel="0" r="255">
      <c r="A255" s="3">
        <v>40575</v>
      </c>
      <c r="B255" s="199">
        <v>3979575.6</v>
      </c>
    </row>
    <row ht="13.8" outlineLevel="0" r="256">
      <c r="A256" s="3">
        <v>40603</v>
      </c>
      <c r="B256" s="199">
        <v>4015980.5</v>
      </c>
    </row>
    <row ht="13.8" outlineLevel="0" r="257">
      <c r="A257" s="3">
        <v>40634</v>
      </c>
      <c r="B257" s="199">
        <v>4058128.5</v>
      </c>
    </row>
    <row ht="13.8" outlineLevel="0" r="258">
      <c r="A258" s="3">
        <v>40664</v>
      </c>
      <c r="B258" s="199">
        <v>4108534.5</v>
      </c>
    </row>
    <row ht="13.8" outlineLevel="0" r="259">
      <c r="A259" s="3">
        <v>40695</v>
      </c>
      <c r="B259" s="199">
        <v>4158548</v>
      </c>
    </row>
    <row ht="13.8" outlineLevel="0" r="260">
      <c r="A260" s="3">
        <v>40725</v>
      </c>
      <c r="B260" s="199">
        <v>4199409</v>
      </c>
    </row>
    <row ht="13.8" outlineLevel="0" r="261">
      <c r="A261" s="3">
        <v>40756</v>
      </c>
      <c r="B261" s="199">
        <v>4242190.2</v>
      </c>
    </row>
    <row ht="13.8" outlineLevel="0" r="262">
      <c r="A262" s="3">
        <v>40787</v>
      </c>
      <c r="B262" s="199">
        <v>4272947.9</v>
      </c>
    </row>
    <row ht="13.8" outlineLevel="0" r="263">
      <c r="A263" s="3">
        <v>40817</v>
      </c>
      <c r="B263" s="199">
        <v>4306824.6</v>
      </c>
    </row>
    <row ht="13.8" outlineLevel="0" r="264">
      <c r="A264" s="3">
        <v>40848</v>
      </c>
      <c r="B264" s="199">
        <v>4340099.3</v>
      </c>
    </row>
    <row ht="13.8" outlineLevel="0" r="265">
      <c r="A265" s="3">
        <v>40878</v>
      </c>
      <c r="B265" s="199">
        <v>4376382</v>
      </c>
    </row>
    <row ht="13.8" outlineLevel="0" r="266">
      <c r="A266" s="3">
        <v>40909</v>
      </c>
      <c r="B266" s="199">
        <v>4410803.2</v>
      </c>
    </row>
    <row ht="13.8" outlineLevel="0" r="267">
      <c r="A267" s="3">
        <v>40940</v>
      </c>
      <c r="B267" s="199">
        <v>4443538.2</v>
      </c>
    </row>
    <row ht="13.8" outlineLevel="0" r="268">
      <c r="A268" s="3">
        <v>40969</v>
      </c>
      <c r="B268" s="199">
        <v>4489323.3</v>
      </c>
    </row>
    <row ht="13.8" outlineLevel="0" r="269">
      <c r="A269" s="3">
        <v>41000</v>
      </c>
      <c r="B269" s="199">
        <v>4522649.4</v>
      </c>
    </row>
    <row ht="13.8" outlineLevel="0" r="270">
      <c r="A270" s="3">
        <v>41030</v>
      </c>
      <c r="B270" s="199">
        <v>4557310.8</v>
      </c>
    </row>
    <row ht="13.8" outlineLevel="0" r="271">
      <c r="A271" s="3">
        <v>41061</v>
      </c>
      <c r="B271" s="199">
        <v>4585734.8</v>
      </c>
    </row>
    <row ht="13.8" outlineLevel="0" r="272">
      <c r="A272" s="3">
        <v>41091</v>
      </c>
      <c r="B272" s="199">
        <v>4627786.4</v>
      </c>
    </row>
    <row ht="13.8" outlineLevel="0" r="273">
      <c r="A273" s="3">
        <v>41122</v>
      </c>
      <c r="B273" s="199">
        <v>4671512.3</v>
      </c>
    </row>
    <row ht="13.8" outlineLevel="0" r="274">
      <c r="A274" s="3">
        <v>41153</v>
      </c>
      <c r="B274" s="199">
        <v>4703853.4</v>
      </c>
    </row>
    <row ht="13.8" outlineLevel="0" r="275">
      <c r="A275" s="3">
        <v>41183</v>
      </c>
      <c r="B275" s="199">
        <v>4748418.4</v>
      </c>
    </row>
    <row ht="13.8" outlineLevel="0" r="276">
      <c r="A276" s="3">
        <v>41214</v>
      </c>
      <c r="B276" s="199">
        <v>4782961.9</v>
      </c>
    </row>
    <row ht="13.8" outlineLevel="0" r="277">
      <c r="A277" s="3">
        <v>41244</v>
      </c>
      <c r="B277" s="199">
        <v>4814760</v>
      </c>
    </row>
    <row ht="13.8" outlineLevel="0" r="278">
      <c r="A278" s="3">
        <v>41275</v>
      </c>
      <c r="B278" s="199">
        <v>4861597</v>
      </c>
    </row>
    <row ht="13.8" outlineLevel="0" r="279">
      <c r="A279" s="3">
        <v>41306</v>
      </c>
      <c r="B279" s="199">
        <v>4892861.3</v>
      </c>
    </row>
    <row ht="13.8" outlineLevel="0" r="280">
      <c r="A280" s="3">
        <v>41334</v>
      </c>
      <c r="B280" s="199">
        <v>4926899.9</v>
      </c>
    </row>
    <row ht="13.8" outlineLevel="0" r="281">
      <c r="A281" s="3">
        <v>41365</v>
      </c>
      <c r="B281" s="199">
        <v>4987525.1</v>
      </c>
    </row>
    <row ht="13.8" outlineLevel="0" r="282">
      <c r="A282" s="3">
        <v>41395</v>
      </c>
      <c r="B282" s="199">
        <v>5026998.3</v>
      </c>
    </row>
    <row ht="13.8" outlineLevel="0" r="283">
      <c r="A283" s="3">
        <v>41426</v>
      </c>
      <c r="B283" s="199">
        <v>5066354.6</v>
      </c>
    </row>
    <row ht="13.8" outlineLevel="0" r="284">
      <c r="A284" s="3">
        <v>41456</v>
      </c>
      <c r="B284" s="199">
        <v>5109931.1</v>
      </c>
    </row>
    <row ht="13.8" outlineLevel="0" r="285">
      <c r="A285" s="3">
        <v>41487</v>
      </c>
      <c r="B285" s="199">
        <v>5144960.6</v>
      </c>
    </row>
    <row ht="13.8" outlineLevel="0" r="286">
      <c r="A286" s="3">
        <v>41518</v>
      </c>
      <c r="B286" s="199">
        <v>5190039.7</v>
      </c>
    </row>
    <row ht="13.8" outlineLevel="0" r="287">
      <c r="A287" s="3">
        <v>41548</v>
      </c>
      <c r="B287" s="199">
        <v>5234347.9</v>
      </c>
    </row>
    <row ht="13.8" outlineLevel="0" r="288">
      <c r="A288" s="3">
        <v>41579</v>
      </c>
      <c r="B288" s="199">
        <v>5278072.2</v>
      </c>
    </row>
    <row ht="13.8" outlineLevel="0" r="289">
      <c r="A289" s="3">
        <v>41609</v>
      </c>
      <c r="B289" s="199">
        <v>5331619</v>
      </c>
    </row>
    <row ht="13.8" outlineLevel="0" r="290">
      <c r="A290" s="3">
        <v>41640</v>
      </c>
      <c r="B290" s="199">
        <v>5376006.9</v>
      </c>
    </row>
    <row ht="13.8" outlineLevel="0" r="291">
      <c r="A291" s="3">
        <v>41671</v>
      </c>
      <c r="B291" s="199">
        <v>5433413.9</v>
      </c>
    </row>
    <row ht="13.8" outlineLevel="0" r="292">
      <c r="A292" s="3">
        <v>41699</v>
      </c>
      <c r="B292" s="199">
        <v>5475984.5</v>
      </c>
    </row>
    <row ht="13.8" outlineLevel="0" r="293">
      <c r="A293" s="3">
        <v>41730</v>
      </c>
      <c r="B293" s="199">
        <v>5509204.1</v>
      </c>
    </row>
    <row ht="13.8" outlineLevel="0" r="294">
      <c r="A294" s="3">
        <v>41760</v>
      </c>
      <c r="B294" s="199">
        <v>5549143.4</v>
      </c>
    </row>
    <row ht="13.8" outlineLevel="0" r="295">
      <c r="A295" s="3">
        <v>41791</v>
      </c>
      <c r="B295" s="199">
        <v>5575724.7</v>
      </c>
    </row>
    <row ht="13.8" outlineLevel="0" r="296">
      <c r="A296" s="3">
        <v>41821</v>
      </c>
      <c r="B296" s="199">
        <v>5610012.3</v>
      </c>
    </row>
    <row ht="13.8" outlineLevel="0" r="297">
      <c r="A297" s="3">
        <v>41852</v>
      </c>
      <c r="B297" s="199">
        <v>5640001.2</v>
      </c>
    </row>
    <row ht="13.8" outlineLevel="0" r="298">
      <c r="A298" s="3">
        <v>41883</v>
      </c>
      <c r="B298" s="199">
        <v>5683716.3</v>
      </c>
    </row>
    <row ht="13.8" outlineLevel="0" r="299">
      <c r="A299" s="3">
        <v>41913</v>
      </c>
      <c r="B299" s="199">
        <v>5717065.5</v>
      </c>
    </row>
    <row ht="13.8" outlineLevel="0" r="300">
      <c r="A300" s="3">
        <v>41944</v>
      </c>
      <c r="B300" s="199">
        <v>5745287.4</v>
      </c>
    </row>
    <row ht="13.8" outlineLevel="0" r="301">
      <c r="A301" s="3">
        <v>41974</v>
      </c>
      <c r="B301" s="199">
        <v>5778953</v>
      </c>
    </row>
    <row ht="13.8" outlineLevel="0" r="302">
      <c r="A302" s="3">
        <v>42005</v>
      </c>
      <c r="B302" s="199">
        <v>5800227.8</v>
      </c>
    </row>
    <row ht="13.8" outlineLevel="0" r="303">
      <c r="A303" s="3">
        <v>42036</v>
      </c>
      <c r="B303" s="199">
        <v>5811269.3</v>
      </c>
    </row>
    <row ht="13.8" outlineLevel="0" r="304">
      <c r="A304" s="3">
        <v>42064</v>
      </c>
      <c r="B304" s="199">
        <v>5849644.2</v>
      </c>
    </row>
    <row ht="13.8" outlineLevel="0" r="305">
      <c r="A305" s="3">
        <v>42095</v>
      </c>
      <c r="B305" s="199">
        <v>5866821.6</v>
      </c>
    </row>
    <row ht="13.8" outlineLevel="0" r="306">
      <c r="A306" s="3">
        <v>42125</v>
      </c>
      <c r="B306" s="199">
        <v>5877865.7</v>
      </c>
    </row>
    <row ht="13.8" outlineLevel="0" r="307">
      <c r="A307" s="3">
        <v>42156</v>
      </c>
      <c r="B307" s="199">
        <v>5907304.8</v>
      </c>
    </row>
    <row ht="13.8" outlineLevel="0" r="308">
      <c r="A308" s="3">
        <v>42186</v>
      </c>
      <c r="B308" s="199">
        <v>5927721.8</v>
      </c>
    </row>
    <row ht="13.8" outlineLevel="0" r="309">
      <c r="A309" s="3">
        <v>42217</v>
      </c>
      <c r="B309" s="199">
        <v>5945129.7</v>
      </c>
    </row>
    <row ht="13.8" outlineLevel="0" r="310">
      <c r="A310" s="3">
        <v>42248</v>
      </c>
      <c r="B310" s="199">
        <v>5953405.9</v>
      </c>
    </row>
    <row ht="13.8" outlineLevel="0" r="311">
      <c r="A311" s="3">
        <v>42278</v>
      </c>
      <c r="B311" s="199">
        <v>5965497.8</v>
      </c>
    </row>
    <row ht="13.8" outlineLevel="0" r="312">
      <c r="A312" s="3">
        <v>42309</v>
      </c>
      <c r="B312" s="199">
        <v>5980469.8</v>
      </c>
    </row>
    <row ht="13.8" outlineLevel="0" r="313">
      <c r="A313" s="3">
        <v>42339</v>
      </c>
      <c r="B313" s="199">
        <v>5995787</v>
      </c>
    </row>
    <row ht="13.8" outlineLevel="0" r="314">
      <c r="A314" s="3">
        <v>42370</v>
      </c>
      <c r="B314" s="199">
        <v>6003192.1</v>
      </c>
    </row>
    <row ht="13.8" outlineLevel="0" r="315">
      <c r="A315" s="3">
        <v>42401</v>
      </c>
      <c r="B315" s="199">
        <v>6026793.1</v>
      </c>
    </row>
    <row ht="13.8" outlineLevel="0" r="316">
      <c r="A316" s="3">
        <v>42430</v>
      </c>
      <c r="B316" s="199">
        <v>6039342</v>
      </c>
    </row>
    <row ht="13.8" outlineLevel="0" r="317">
      <c r="A317" s="3">
        <v>42461</v>
      </c>
      <c r="B317" s="199">
        <v>6062938.9</v>
      </c>
    </row>
    <row ht="13.8" outlineLevel="0" r="318">
      <c r="A318" s="3">
        <v>42491</v>
      </c>
      <c r="B318" s="199">
        <v>6087180.2</v>
      </c>
    </row>
    <row ht="13.8" outlineLevel="0" r="319">
      <c r="A319" s="3">
        <v>42522</v>
      </c>
      <c r="B319" s="199">
        <v>6118352.6</v>
      </c>
    </row>
    <row ht="13.8" outlineLevel="0" r="320">
      <c r="A320" s="3">
        <v>42552</v>
      </c>
      <c r="B320" s="199">
        <v>6132981</v>
      </c>
    </row>
    <row ht="13.8" outlineLevel="0" r="321">
      <c r="A321" s="3">
        <v>42583</v>
      </c>
      <c r="B321" s="199">
        <v>6162507.8</v>
      </c>
    </row>
    <row ht="13.8" outlineLevel="0" r="322">
      <c r="A322" s="3">
        <v>42614</v>
      </c>
      <c r="B322" s="199">
        <v>6187312.5</v>
      </c>
    </row>
    <row ht="13.8" outlineLevel="0" r="323">
      <c r="A323" s="3">
        <v>42644</v>
      </c>
      <c r="B323" s="199">
        <v>6205702.4</v>
      </c>
    </row>
    <row ht="13.8" outlineLevel="0" r="324">
      <c r="A324" s="3">
        <v>42675</v>
      </c>
      <c r="B324" s="199">
        <v>6238153.4</v>
      </c>
    </row>
    <row ht="13.8" outlineLevel="0" r="325">
      <c r="A325" s="3">
        <v>42705</v>
      </c>
      <c r="B325" s="199">
        <v>6269328</v>
      </c>
    </row>
    <row ht="13.8" outlineLevel="0" r="326">
      <c r="A326" s="3">
        <v>42736</v>
      </c>
      <c r="B326" s="199">
        <v>6300869.7</v>
      </c>
    </row>
    <row ht="13.8" outlineLevel="0" r="327">
      <c r="A327" s="3">
        <v>42767</v>
      </c>
      <c r="B327" s="199">
        <v>6321856.4</v>
      </c>
    </row>
    <row ht="13.8" outlineLevel="0" r="328">
      <c r="A328" s="3">
        <v>42795</v>
      </c>
      <c r="B328" s="199">
        <v>6355071.7</v>
      </c>
    </row>
    <row ht="13.8" outlineLevel="0" r="329">
      <c r="A329" s="3">
        <v>42826</v>
      </c>
      <c r="B329" s="199">
        <v>6372109.1</v>
      </c>
    </row>
    <row ht="13.8" outlineLevel="0" r="330">
      <c r="A330" s="3">
        <v>42856</v>
      </c>
      <c r="B330" s="199">
        <v>6406295.9</v>
      </c>
    </row>
    <row ht="13.8" outlineLevel="0" r="331">
      <c r="A331" s="3">
        <v>42887</v>
      </c>
      <c r="B331" s="199">
        <v>6427016.5</v>
      </c>
    </row>
    <row ht="13.8" outlineLevel="0" r="332">
      <c r="A332" s="3">
        <v>42917</v>
      </c>
      <c r="B332" s="199">
        <v>6453294.3</v>
      </c>
    </row>
    <row ht="13.8" outlineLevel="0" r="333">
      <c r="A333" s="3">
        <v>42948</v>
      </c>
      <c r="B333" s="199">
        <v>6478486.3</v>
      </c>
    </row>
    <row ht="13.8" outlineLevel="0" r="334">
      <c r="A334" s="3">
        <v>42979</v>
      </c>
      <c r="B334" s="199">
        <v>6498400.9</v>
      </c>
    </row>
    <row ht="13.8" outlineLevel="0" r="335">
      <c r="A335" s="3">
        <v>43009</v>
      </c>
      <c r="B335" s="199">
        <v>6527202.9</v>
      </c>
    </row>
    <row ht="13.8" outlineLevel="0" r="336">
      <c r="A336" s="3">
        <v>43040</v>
      </c>
      <c r="B336" s="199">
        <v>6555041.4</v>
      </c>
    </row>
    <row ht="13.8" outlineLevel="0" r="337">
      <c r="A337" s="3">
        <v>43070</v>
      </c>
      <c r="B337" s="199">
        <v>6585479</v>
      </c>
    </row>
    <row ht="13.8" outlineLevel="0" r="338">
      <c r="A338" s="3">
        <v>43101</v>
      </c>
      <c r="B338" s="199">
        <v>6623911.5</v>
      </c>
    </row>
    <row ht="13.8" outlineLevel="0" r="339">
      <c r="A339" s="3">
        <v>43132</v>
      </c>
      <c r="B339" s="199">
        <v>6652263.7</v>
      </c>
    </row>
    <row ht="13.8" outlineLevel="0" r="340">
      <c r="A340" s="3">
        <v>43160</v>
      </c>
      <c r="B340" s="199">
        <v>6680377</v>
      </c>
    </row>
    <row ht="13.8" outlineLevel="0" r="341">
      <c r="A341" s="3">
        <v>43191</v>
      </c>
      <c r="B341" s="199">
        <v>6729988.4</v>
      </c>
    </row>
    <row ht="13.8" outlineLevel="0" r="342">
      <c r="A342" s="3">
        <v>43221</v>
      </c>
      <c r="B342" s="199">
        <v>6741049.2</v>
      </c>
    </row>
    <row ht="13.8" outlineLevel="0" r="343">
      <c r="A343" s="3">
        <v>43252</v>
      </c>
      <c r="B343" s="199">
        <v>6782893.4</v>
      </c>
    </row>
    <row ht="13.8" outlineLevel="0" r="344">
      <c r="A344" s="3">
        <v>43282</v>
      </c>
      <c r="B344" s="199">
        <v>6826771.2</v>
      </c>
    </row>
    <row ht="13.8" outlineLevel="0" r="345">
      <c r="A345" s="3">
        <v>43313</v>
      </c>
      <c r="B345" s="199">
        <v>6870119.7</v>
      </c>
    </row>
    <row ht="13.8" outlineLevel="0" r="346">
      <c r="A346" s="3">
        <v>43344</v>
      </c>
      <c r="B346" s="199">
        <v>6902659.2</v>
      </c>
    </row>
    <row ht="13.8" outlineLevel="0" r="347">
      <c r="A347" s="3">
        <v>43374</v>
      </c>
      <c r="B347" s="199">
        <v>6946347.7</v>
      </c>
    </row>
    <row ht="13.8" outlineLevel="0" r="348">
      <c r="A348" s="3">
        <v>43405</v>
      </c>
      <c r="B348" s="199">
        <v>6980494.4</v>
      </c>
    </row>
    <row ht="13.8" outlineLevel="0" r="349">
      <c r="A349" s="3">
        <v>43435</v>
      </c>
      <c r="B349" s="199">
        <v>7004141</v>
      </c>
    </row>
    <row ht="13.8" outlineLevel="0" r="350">
      <c r="A350" s="3">
        <v>43466</v>
      </c>
      <c r="B350" s="199">
        <v>7032761.6</v>
      </c>
    </row>
    <row ht="13.8" outlineLevel="0" r="351">
      <c r="A351" s="3">
        <v>43497</v>
      </c>
      <c r="B351" s="199">
        <v>7072535.3</v>
      </c>
    </row>
    <row ht="13.8" outlineLevel="0" r="352">
      <c r="A352" s="3">
        <v>43525</v>
      </c>
      <c r="B352" s="199">
        <v>7088907</v>
      </c>
    </row>
    <row ht="13.8" outlineLevel="0" r="353">
      <c r="A353" s="3">
        <v>43556</v>
      </c>
      <c r="B353" s="199">
        <v>7118081.8</v>
      </c>
    </row>
    <row ht="13.8" outlineLevel="0" r="354">
      <c r="A354" s="3">
        <v>43586</v>
      </c>
      <c r="B354" s="199">
        <v>7174749.6</v>
      </c>
    </row>
    <row ht="13.8" outlineLevel="0" r="355">
      <c r="A355" s="3">
        <v>43617</v>
      </c>
      <c r="B355" s="199">
        <v>7189820.6</v>
      </c>
    </row>
    <row ht="13.8" outlineLevel="0" r="356">
      <c r="A356" s="3">
        <v>43647</v>
      </c>
      <c r="B356" s="199">
        <v>7231262.2</v>
      </c>
    </row>
    <row ht="13.8" outlineLevel="0" r="357">
      <c r="A357" s="3">
        <v>43678</v>
      </c>
      <c r="B357" s="199">
        <v>7262535.1</v>
      </c>
    </row>
    <row ht="13.8" outlineLevel="0" r="358">
      <c r="A358" s="3">
        <v>43709</v>
      </c>
      <c r="B358" s="199">
        <v>7305486.4</v>
      </c>
    </row>
    <row ht="13.8" outlineLevel="0" r="359">
      <c r="A359" s="3">
        <v>43739</v>
      </c>
      <c r="B359" s="199">
        <v>7343822.2</v>
      </c>
    </row>
    <row ht="13.8" outlineLevel="0" r="360">
      <c r="A360" s="3">
        <v>43770</v>
      </c>
      <c r="B360" s="199">
        <v>7373756.9</v>
      </c>
    </row>
    <row ht="13.8" outlineLevel="0" r="361">
      <c r="A361" s="3">
        <v>43800</v>
      </c>
      <c r="B361" s="199">
        <v>7407023.6</v>
      </c>
    </row>
    <row ht="13.8" outlineLevel="0" r="362">
      <c r="A362" s="3">
        <v>43831</v>
      </c>
      <c r="B362" s="199">
        <v>7433834.5</v>
      </c>
    </row>
    <row ht="13.8" outlineLevel="0" r="363">
      <c r="A363" s="3">
        <v>43862</v>
      </c>
      <c r="B363" s="199">
        <v>7465351.7</v>
      </c>
    </row>
    <row ht="13.8" outlineLevel="0" r="364">
      <c r="A364" s="3">
        <v>43891</v>
      </c>
      <c r="B364" s="199">
        <v>7485253.1</v>
      </c>
    </row>
    <row ht="13.8" outlineLevel="0" r="365">
      <c r="A365" s="3">
        <v>43922</v>
      </c>
      <c r="B365" s="199">
        <v>7424523.7</v>
      </c>
    </row>
    <row ht="13.8" outlineLevel="0" r="366">
      <c r="A366" s="3">
        <v>43952</v>
      </c>
      <c r="B366" s="199">
        <v>7367677.4</v>
      </c>
    </row>
    <row ht="13.8" outlineLevel="0" r="367">
      <c r="A367" s="3">
        <v>43983</v>
      </c>
      <c r="B367" s="199">
        <v>7359646.6</v>
      </c>
    </row>
    <row ht="13.8" outlineLevel="0" r="368">
      <c r="A368" s="3">
        <v>44013</v>
      </c>
      <c r="B368" s="199">
        <v>7355828.7</v>
      </c>
    </row>
    <row ht="13.8" outlineLevel="0" r="369">
      <c r="A369" s="3">
        <v>44044</v>
      </c>
      <c r="B369" s="199">
        <v>7350445.5</v>
      </c>
    </row>
    <row ht="13.8" outlineLevel="0" r="370">
      <c r="A370" s="3">
        <v>44075</v>
      </c>
      <c r="B370" s="199">
        <v>7367379</v>
      </c>
    </row>
    <row ht="13.8" outlineLevel="0" r="371">
      <c r="A371" s="3">
        <v>44105</v>
      </c>
      <c r="B371" s="199">
        <v>7377427</v>
      </c>
    </row>
    <row ht="13.8" outlineLevel="0" r="372">
      <c r="A372" s="3">
        <v>44136</v>
      </c>
      <c r="B372" s="199">
        <v>7402153.1</v>
      </c>
    </row>
    <row ht="13.8" outlineLevel="0" r="373">
      <c r="A373" s="3">
        <v>44166</v>
      </c>
      <c r="B373" s="199">
        <v>7447858.3</v>
      </c>
    </row>
    <row ht="13.8" outlineLevel="0" r="374">
      <c r="A374" s="3">
        <v>44197</v>
      </c>
      <c r="B374" s="199">
        <v>7487729.3</v>
      </c>
    </row>
    <row ht="13.8" outlineLevel="0" r="375">
      <c r="A375" s="3">
        <v>44228</v>
      </c>
      <c r="B375" s="199">
        <v>7547313.1</v>
      </c>
    </row>
    <row ht="13.8" outlineLevel="0" r="376">
      <c r="A376" s="3">
        <v>44256</v>
      </c>
      <c r="B376" s="199">
        <v>7652017.9</v>
      </c>
    </row>
    <row ht="13.8" outlineLevel="0" r="377">
      <c r="A377" s="3">
        <v>44287</v>
      </c>
      <c r="B377" s="199">
        <v>7814704.7</v>
      </c>
    </row>
    <row ht="13.8" outlineLevel="0" r="378">
      <c r="A378" s="3">
        <v>44317</v>
      </c>
      <c r="B378" s="199">
        <v>7966761.2</v>
      </c>
    </row>
    <row ht="13.8" outlineLevel="0" r="379">
      <c r="A379" s="3">
        <v>44348</v>
      </c>
      <c r="B379" s="199">
        <v>8086622.4</v>
      </c>
    </row>
    <row ht="13.8" outlineLevel="0" r="380">
      <c r="A380" s="3">
        <v>44378</v>
      </c>
      <c r="B380" s="199">
        <v>8185292.8</v>
      </c>
    </row>
    <row ht="13.8" outlineLevel="0" r="381">
      <c r="A381" s="3">
        <v>44409</v>
      </c>
      <c r="B381" s="199">
        <v>8287728.3</v>
      </c>
    </row>
  </sheetData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262626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2"/>
  <cols>
    <col min="1" max="1" width="81.67" style="342" customWidth="1"/>
    <col min="2" max="2" width="32.94" style="342" customWidth="1"/>
    <col min="3" max="5" width="32.27" style="342" customWidth="1"/>
    <col min="6" max="1025" width="8.64" style="342" customWidth="1"/>
  </cols>
  <sheetData>
    <row ht="39.55" outlineLevel="0" r="1">
      <c r="A1" s="446" t="s">
        <v>679</v>
      </c>
      <c r="B1" s="447" t="s">
        <v>680</v>
      </c>
      <c r="C1" s="448" t="s">
        <v>681</v>
      </c>
      <c r="D1" s="447" t="s">
        <v>685</v>
      </c>
      <c r="E1" s="447" t="s">
        <v>686</v>
      </c>
    </row>
    <row ht="13.8" outlineLevel="0" r="2">
      <c r="A2" s="446" t="s">
        <v>797</v>
      </c>
      <c r="B2" s="449">
        <v>202507722753.509</v>
      </c>
      <c r="C2" s="449">
        <v>128265136766.232</v>
      </c>
      <c r="D2" s="449">
        <f>IF(C2&gt;=0,C2/1000000000,"")</f>
        <v>128.265136766232</v>
      </c>
      <c r="E2" s="449" t="str">
        <f>IF(C2&lt;0,C2/1000000000,"")</f>
        <v/>
      </c>
    </row>
    <row ht="13.8" outlineLevel="0" r="3">
      <c r="A3" s="446" t="s">
        <v>694</v>
      </c>
      <c r="B3" s="449">
        <v>20300047743.7224</v>
      </c>
      <c r="C3" s="449">
        <v>15455478849.148</v>
      </c>
      <c r="D3" s="449">
        <f>IF(C3&gt;=0,C3/1000000000,"")</f>
        <v>15.455478849148</v>
      </c>
      <c r="E3" s="449" t="str">
        <f>IF(C3&lt;0,C3/1000000000,"")</f>
        <v/>
      </c>
    </row>
    <row ht="13.8" outlineLevel="0" r="4">
      <c r="A4" s="446" t="s">
        <v>798</v>
      </c>
      <c r="B4" s="449">
        <v>43408042868.4357</v>
      </c>
      <c r="C4" s="449">
        <v>42389504609.6076</v>
      </c>
      <c r="D4" s="449">
        <f>IF(C4&gt;=0,C4/1000000000,"")</f>
        <v>42.3895046096076</v>
      </c>
      <c r="E4" s="449" t="str">
        <f>IF(C4&lt;0,C4/1000000000,"")</f>
        <v/>
      </c>
    </row>
    <row ht="13.8" outlineLevel="0" r="5">
      <c r="A5" s="446" t="s">
        <v>698</v>
      </c>
      <c r="B5" s="449">
        <v>3754680132.2</v>
      </c>
      <c r="C5" s="449">
        <v>-1693878260.67</v>
      </c>
      <c r="D5" s="449" t="str">
        <f>IF(C5&gt;=0,C5/1000000000,"")</f>
        <v/>
      </c>
      <c r="E5" s="449">
        <f>IF(C5&lt;0,C5/1000000000,"")</f>
        <v>-1.69387826067</v>
      </c>
    </row>
    <row ht="14.15" outlineLevel="0" r="6">
      <c r="A6" s="450" t="s">
        <v>699</v>
      </c>
      <c r="B6" s="449">
        <v>65937540261.77</v>
      </c>
      <c r="C6" s="449">
        <v>-1970867743.1</v>
      </c>
      <c r="D6" s="449" t="str">
        <f>IF(C6&gt;=0,C6/1000000000,"")</f>
        <v/>
      </c>
      <c r="E6" s="449">
        <f>IF(C6&lt;0,C6/1000000000,"")</f>
        <v>-1.9708677431</v>
      </c>
    </row>
    <row ht="13.8" outlineLevel="0" r="7">
      <c r="A7" s="446" t="s">
        <v>799</v>
      </c>
      <c r="B7" s="449">
        <v>96896616875.52</v>
      </c>
      <c r="C7" s="449">
        <v>100114173872.59</v>
      </c>
      <c r="D7" s="449">
        <f>IF(C7&gt;=0,C7/1000000000,"")</f>
        <v>100.11417387259</v>
      </c>
      <c r="E7" s="449" t="str">
        <f>IF(C7&lt;0,C7/1000000000,"")</f>
        <v/>
      </c>
    </row>
    <row ht="13.8" outlineLevel="0" r="8">
      <c r="A8" s="446" t="s">
        <v>800</v>
      </c>
      <c r="B8" s="449">
        <v>766208127281.734</v>
      </c>
      <c r="C8" s="449">
        <v>650323682488.479</v>
      </c>
      <c r="D8" s="449">
        <f>IF(C8&gt;=0,C8/1000000000,"")</f>
        <v>650.323682488479</v>
      </c>
      <c r="E8" s="449" t="str">
        <f>IF(C8&lt;0,C8/1000000000,"")</f>
        <v/>
      </c>
    </row>
    <row ht="13.8" outlineLevel="0" r="9">
      <c r="A9" s="446" t="s">
        <v>695</v>
      </c>
      <c r="B9" s="449">
        <v>4573421258.24242</v>
      </c>
      <c r="C9" s="449">
        <v>5251026106.11947</v>
      </c>
      <c r="D9" s="449">
        <f>IF(C9&gt;=0,C9/1000000000,"")</f>
        <v>5.25102610611947</v>
      </c>
      <c r="E9" s="449" t="str">
        <f>IF(C9&lt;0,C9/1000000000,"")</f>
        <v/>
      </c>
    </row>
    <row ht="13.8" outlineLevel="0" r="10">
      <c r="A10" s="446" t="s">
        <v>801</v>
      </c>
      <c r="B10" s="449">
        <v>17092644599.81</v>
      </c>
      <c r="C10" s="449">
        <v>31525564604.63</v>
      </c>
      <c r="D10" s="449">
        <f>IF(C10&gt;=0,C10/1000000000,"")</f>
        <v>31.52556460463</v>
      </c>
      <c r="E10" s="449" t="str">
        <f>IF(C10&lt;0,C10/1000000000,"")</f>
        <v/>
      </c>
    </row>
    <row ht="13.8" outlineLevel="0" r="11">
      <c r="A11" s="446" t="s">
        <v>690</v>
      </c>
      <c r="B11" s="449">
        <v>353247794576.181</v>
      </c>
      <c r="C11" s="449">
        <v>324996589768.766</v>
      </c>
      <c r="D11" s="449">
        <f>IF(C11&gt;=0,C11/1000000000,"")</f>
        <v>324.996589768766</v>
      </c>
      <c r="E11" s="449" t="str">
        <f>IF(C11&lt;0,C11/1000000000,"")</f>
        <v/>
      </c>
    </row>
    <row ht="13.8" outlineLevel="0" r="12">
      <c r="A12" s="446" t="s">
        <v>692</v>
      </c>
      <c r="B12" s="449">
        <v>50721479783.9918</v>
      </c>
      <c r="C12" s="449">
        <v>32271459993.1619</v>
      </c>
      <c r="D12" s="449">
        <f>IF(C12&gt;=0,C12/1000000000,"")</f>
        <v>32.2714599931619</v>
      </c>
      <c r="E12" s="449" t="str">
        <f>IF(C12&lt;0,C12/1000000000,"")</f>
        <v/>
      </c>
    </row>
    <row ht="13.8" outlineLevel="0" r="13">
      <c r="A13" s="446" t="s">
        <v>697</v>
      </c>
      <c r="B13" s="449">
        <v>99059392</v>
      </c>
      <c r="C13" s="449">
        <v>99297490.4400024</v>
      </c>
      <c r="D13" s="449">
        <f>IF(C13&gt;=0,C13/1000000000,"")</f>
        <v>0.0992974904400024</v>
      </c>
      <c r="E13" s="449" t="str">
        <f>IF(C13&lt;0,C13/1000000000,"")</f>
        <v/>
      </c>
    </row>
    <row ht="13.8" outlineLevel="0" r="14">
      <c r="A14" s="446" t="s">
        <v>700</v>
      </c>
      <c r="B14" s="449">
        <f>SUM(B2:B13)</f>
        <v>1624747177527.12</v>
      </c>
      <c r="C14" s="449">
        <f>SUM(C2:C13)</f>
        <v>1327027168545.4</v>
      </c>
      <c r="D14" s="449">
        <f>IF(C14&gt;=0,C14/1000000000,"")</f>
        <v>1327.0271685454</v>
      </c>
      <c r="E14" s="449" t="str">
        <f>IF(C14&lt;0,C14/1000000000,"")</f>
        <v/>
      </c>
    </row>
    <row ht="12.8" outlineLevel="0" r="44">
      <c r="I44" s="451">
        <f>[12]Anexo_8!$C$27</f>
        <v>2163722.01049</v>
      </c>
    </row>
    <row ht="12.8" outlineLevel="0" r="45">
      <c r="K45" s="342" t="e">
        <f>'https://tesouro.sharepoint.com/sites/GEINF/Documentos Compartilhados/General/Teste/Anexo 8 Educação (todas as fontes).xlsm'#$$dot_atualizada_educacao</f>
        <v>#NAME?</v>
      </c>
    </row>
    <row ht="12.8" outlineLevel="0" r="47">
      <c r="K47" s="451">
        <f>[12]Anexo_8!$C$19</f>
        <v>63259582.1182556</v>
      </c>
    </row>
    <row ht="12.8" outlineLevel="0" r="50">
      <c r="H50" s="451">
        <f>[12]Anexo_8!$E$26</f>
        <v>1753262.59627</v>
      </c>
    </row>
  </sheetData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262626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3"/>
  <cols>
    <col min="1" max="1" width="29.43" style="446" customWidth="1"/>
    <col min="2" max="5" width="7.02" style="446" hidden="1" customWidth="1"/>
    <col min="6" max="12" width="7.02" style="446" customWidth="1"/>
    <col min="13" max="1025" width="8.64" style="446" customWidth="1"/>
  </cols>
  <sheetData>
    <row ht="13.8" outlineLevel="0" r="1">
      <c r="A1" s="452" t="s">
        <v>802</v>
      </c>
    </row>
    <row ht="13.8" outlineLevel="0" r="2">
      <c r="A2" s="203" t="s">
        <v>441</v>
      </c>
    </row>
    <row ht="13.8" outlineLevel="0" r="3">
      <c r="A3" s="453" t="s">
        <v>803</v>
      </c>
      <c r="L3" s="454"/>
    </row>
    <row ht="13.8" outlineLevel="0" r="4">
      <c r="A4" s="35" t="s">
        <v>763</v>
      </c>
      <c r="B4" s="455">
        <v>2008</v>
      </c>
      <c r="C4" s="455">
        <v>2009</v>
      </c>
      <c r="D4" s="455">
        <v>2010</v>
      </c>
      <c r="E4" s="455">
        <v>2011</v>
      </c>
      <c r="F4" s="456" t="s">
        <v>804</v>
      </c>
      <c r="G4" s="456" t="s">
        <v>805</v>
      </c>
      <c r="H4" s="456" t="s">
        <v>806</v>
      </c>
      <c r="I4" s="456" t="s">
        <v>807</v>
      </c>
      <c r="J4" s="456" t="s">
        <v>808</v>
      </c>
      <c r="K4" s="456" t="s">
        <v>701</v>
      </c>
      <c r="L4" s="456" t="s">
        <v>709</v>
      </c>
    </row>
    <row ht="13.8" outlineLevel="0" r="5">
      <c r="A5" s="54" t="s">
        <v>761</v>
      </c>
      <c r="B5" s="457">
        <v>329.982037</v>
      </c>
      <c r="C5" s="457">
        <v>349.835777</v>
      </c>
      <c r="D5" s="457">
        <v>407.8634940091</v>
      </c>
      <c r="E5" s="457">
        <v>470.20466399672</v>
      </c>
      <c r="F5" s="457">
        <v>524.89028601036</v>
      </c>
      <c r="G5" s="457">
        <v>586.54944602975</v>
      </c>
      <c r="H5" s="457">
        <v>622.97047110342</v>
      </c>
      <c r="I5" s="457">
        <v>645.99984509448</v>
      </c>
      <c r="J5" s="457">
        <v>635.29106033169</v>
      </c>
      <c r="K5" s="457">
        <v>675.2117849251</v>
      </c>
      <c r="L5" s="457">
        <f>+'[8]Tabela_1-A'!C7/1000000</f>
        <v>701.11842251889</v>
      </c>
    </row>
    <row ht="13.8" outlineLevel="0" r="6">
      <c r="A6" s="458" t="s">
        <v>766</v>
      </c>
      <c r="B6" s="459">
        <v>161.51138002</v>
      </c>
      <c r="C6" s="459">
        <v>181.630291</v>
      </c>
      <c r="D6" s="459">
        <v>212.40245064</v>
      </c>
      <c r="E6" s="459">
        <v>245.52406272</v>
      </c>
      <c r="F6" s="459">
        <v>276.56850435233</v>
      </c>
      <c r="G6" s="459">
        <v>306.56318613452</v>
      </c>
      <c r="H6" s="459">
        <v>337.55463705</v>
      </c>
      <c r="I6" s="459">
        <v>351.67510355927</v>
      </c>
      <c r="J6" s="459">
        <v>360.38008000511</v>
      </c>
      <c r="K6" s="459">
        <v>379.25236121428</v>
      </c>
      <c r="L6" s="459">
        <f>+'[8]Tabela_1-A'!C8/1000000</f>
        <v>283.21757776267</v>
      </c>
    </row>
    <row ht="13.8" outlineLevel="0" r="7">
      <c r="A7" s="458" t="s">
        <v>768</v>
      </c>
      <c r="B7" s="459">
        <v>14.93263698522</v>
      </c>
      <c r="C7" s="459">
        <v>18.51084252156</v>
      </c>
      <c r="D7" s="459">
        <v>20.80768098</v>
      </c>
      <c r="E7" s="459">
        <v>22.6144539</v>
      </c>
      <c r="F7" s="459">
        <v>22.98350495</v>
      </c>
      <c r="G7" s="459">
        <v>24.57728476</v>
      </c>
      <c r="H7" s="459">
        <v>26.93513437</v>
      </c>
      <c r="I7" s="459">
        <v>29.49863320981</v>
      </c>
      <c r="J7" s="459">
        <v>30.69640321743</v>
      </c>
      <c r="K7" s="459">
        <v>33.78333123656</v>
      </c>
      <c r="L7" s="459">
        <f>+'[8]Tabela_1-A'!C9/1000000</f>
        <v>25.44094014264</v>
      </c>
    </row>
    <row ht="13.8" outlineLevel="0" r="8">
      <c r="A8" s="458" t="s">
        <v>770</v>
      </c>
      <c r="B8" s="459">
        <v>1.51285701478</v>
      </c>
      <c r="C8" s="459">
        <v>1.68126071844</v>
      </c>
      <c r="D8" s="459">
        <v>1.8690209691</v>
      </c>
      <c r="E8" s="459">
        <v>2.02544100672</v>
      </c>
      <c r="F8" s="459">
        <v>2.00121142036</v>
      </c>
      <c r="G8" s="459">
        <v>2.17071394975</v>
      </c>
      <c r="H8" s="459">
        <v>2.34323961342</v>
      </c>
      <c r="I8" s="459">
        <v>2.6497825812</v>
      </c>
      <c r="J8" s="459">
        <v>2.929514</v>
      </c>
      <c r="K8" s="459">
        <v>3.34276268854</v>
      </c>
      <c r="L8" s="459">
        <f>+'[8]Tabela_1-A'!C10/1000000</f>
        <v>5.39695849222</v>
      </c>
    </row>
    <row ht="13.8" outlineLevel="0" r="9">
      <c r="A9" s="458" t="s">
        <v>809</v>
      </c>
      <c r="B9" s="459">
        <v>152.02516298</v>
      </c>
      <c r="C9" s="459">
        <v>148.01338276</v>
      </c>
      <c r="D9" s="459">
        <v>172.78434142</v>
      </c>
      <c r="E9" s="459">
        <v>200.04070637</v>
      </c>
      <c r="F9" s="459">
        <v>223.33706528767</v>
      </c>
      <c r="G9" s="459">
        <v>253.23826118548</v>
      </c>
      <c r="H9" s="459">
        <v>256.13746007</v>
      </c>
      <c r="I9" s="459">
        <v>262.1763257442</v>
      </c>
      <c r="J9" s="459">
        <v>241.28506310915</v>
      </c>
      <c r="K9" s="459">
        <v>258.83332978572</v>
      </c>
      <c r="L9" s="459">
        <f>+'[8]Tabela_1-A'!C11/1000000</f>
        <v>387.06294612136</v>
      </c>
    </row>
    <row ht="13.8" outlineLevel="0" r="10">
      <c r="A10" s="54" t="s">
        <v>776</v>
      </c>
      <c r="B10" s="460">
        <v>372.102542879342</v>
      </c>
      <c r="C10" s="460">
        <v>428.543056176673</v>
      </c>
      <c r="D10" s="460">
        <v>477.107736872344</v>
      </c>
      <c r="E10" s="460">
        <v>533.924272879934</v>
      </c>
      <c r="F10" s="460">
        <v>600.950670705768</v>
      </c>
      <c r="G10" s="460">
        <v>669.206996656482</v>
      </c>
      <c r="H10" s="460">
        <v>740.699949394739</v>
      </c>
      <c r="I10" s="460">
        <v>796.579991830669</v>
      </c>
      <c r="J10" s="460">
        <v>874.703126832552</v>
      </c>
      <c r="K10" s="460">
        <v>953.304552124139</v>
      </c>
      <c r="L10" s="460">
        <f>+'[8]Tabela_1-A'!C12/1000000</f>
        <v>935.493992206401</v>
      </c>
    </row>
    <row ht="13.8" outlineLevel="0" r="11">
      <c r="A11" s="458" t="s">
        <v>766</v>
      </c>
      <c r="B11" s="459">
        <v>200.80540910938</v>
      </c>
      <c r="C11" s="459">
        <v>226.30564758935</v>
      </c>
      <c r="D11" s="459">
        <v>254.81217978886</v>
      </c>
      <c r="E11" s="459">
        <v>282.38970109398</v>
      </c>
      <c r="F11" s="459">
        <v>318.69105587487</v>
      </c>
      <c r="G11" s="459">
        <v>358.55008972105</v>
      </c>
      <c r="H11" s="459">
        <v>401.63776945634</v>
      </c>
      <c r="I11" s="459">
        <v>439.58979846179</v>
      </c>
      <c r="J11" s="459">
        <v>509.55831861545</v>
      </c>
      <c r="K11" s="459">
        <v>561.07984426626</v>
      </c>
      <c r="L11" s="459">
        <f>+'[8]Tabela_1-A'!C13/1000000</f>
        <v>492.40853027892</v>
      </c>
    </row>
    <row ht="13.8" outlineLevel="0" r="12">
      <c r="A12" s="458" t="s">
        <v>768</v>
      </c>
      <c r="B12" s="459">
        <v>38.6482</v>
      </c>
      <c r="C12" s="459">
        <v>42.63868158146</v>
      </c>
      <c r="D12" s="459">
        <v>52.526934</v>
      </c>
      <c r="E12" s="459">
        <v>57.180957</v>
      </c>
      <c r="F12" s="459">
        <v>59.224211</v>
      </c>
      <c r="G12" s="459">
        <v>64.484236</v>
      </c>
      <c r="H12" s="459">
        <v>64.377733</v>
      </c>
      <c r="I12" s="459">
        <v>69.506444</v>
      </c>
      <c r="J12" s="459">
        <v>73.778658</v>
      </c>
      <c r="K12" s="459">
        <v>82.44807956067</v>
      </c>
      <c r="L12" s="459">
        <f>+'[8]Tabela_1-A'!C14/1000000</f>
        <v>58.30858499281</v>
      </c>
    </row>
    <row ht="13.8" outlineLevel="0" r="13">
      <c r="A13" s="458" t="s">
        <v>770</v>
      </c>
      <c r="B13" s="459">
        <v>20.003212</v>
      </c>
      <c r="C13" s="459">
        <v>24.56831541854</v>
      </c>
      <c r="D13" s="459">
        <v>21.395543</v>
      </c>
      <c r="E13" s="459">
        <v>21.965528</v>
      </c>
      <c r="F13" s="459">
        <v>23.321609</v>
      </c>
      <c r="G13" s="459">
        <v>24.953267</v>
      </c>
      <c r="H13" s="459">
        <v>31.848797</v>
      </c>
      <c r="I13" s="459">
        <v>35.156564</v>
      </c>
      <c r="J13" s="459">
        <v>17.33559987451</v>
      </c>
      <c r="K13" s="459">
        <v>19.16256729779</v>
      </c>
      <c r="L13" s="459">
        <f>+'[8]Tabela_1-A'!C15/1000000</f>
        <v>15.85526723659</v>
      </c>
    </row>
    <row ht="13.8" outlineLevel="0" r="14">
      <c r="A14" s="458" t="s">
        <v>780</v>
      </c>
      <c r="B14" s="459">
        <v>48.678681</v>
      </c>
      <c r="C14" s="459">
        <v>58.281095</v>
      </c>
      <c r="D14" s="459">
        <v>61.976698</v>
      </c>
      <c r="E14" s="459">
        <v>72.356648</v>
      </c>
      <c r="F14" s="459">
        <v>80.073777</v>
      </c>
      <c r="G14" s="459">
        <v>83.053256</v>
      </c>
      <c r="H14" s="459">
        <v>91.898531</v>
      </c>
      <c r="I14" s="459">
        <v>100.054862</v>
      </c>
      <c r="J14" s="459">
        <v>106.235537</v>
      </c>
      <c r="K14" s="459">
        <v>114.70061</v>
      </c>
      <c r="L14" s="459">
        <f>+'[8]Tabela_1-A'!C16/1000000</f>
        <v>112.163376384168</v>
      </c>
    </row>
    <row ht="13.8" outlineLevel="0" r="15">
      <c r="A15" s="458" t="s">
        <v>782</v>
      </c>
      <c r="B15" s="459">
        <v>28.8452114797614</v>
      </c>
      <c r="C15" s="459">
        <v>33.3355410429475</v>
      </c>
      <c r="D15" s="459">
        <v>39.1121210938061</v>
      </c>
      <c r="E15" s="459">
        <v>45.57086617767</v>
      </c>
      <c r="F15" s="459">
        <v>56.6335281343381</v>
      </c>
      <c r="G15" s="459">
        <v>64.6451891092521</v>
      </c>
      <c r="H15" s="459">
        <v>70.4302975282746</v>
      </c>
      <c r="I15" s="459">
        <v>73.22743857356</v>
      </c>
      <c r="J15" s="459">
        <v>79.75198750357</v>
      </c>
      <c r="K15" s="459">
        <v>84.7115317422076</v>
      </c>
      <c r="L15" s="459">
        <f>+'[8]Tabela_1-A'!C17/1000000</f>
        <v>124.96175581129</v>
      </c>
    </row>
    <row ht="13.8" outlineLevel="0" r="16">
      <c r="A16" s="458" t="s">
        <v>784</v>
      </c>
      <c r="B16" s="459">
        <v>5.975342257</v>
      </c>
      <c r="C16" s="459">
        <v>7.5645067042</v>
      </c>
      <c r="D16" s="459">
        <v>8.758203217</v>
      </c>
      <c r="E16" s="459">
        <v>10.37939626</v>
      </c>
      <c r="F16" s="459">
        <v>12.33649947714</v>
      </c>
      <c r="G16" s="459">
        <v>14.65874988758</v>
      </c>
      <c r="H16" s="459">
        <v>15.876742344</v>
      </c>
      <c r="I16" s="459">
        <v>10.125701665</v>
      </c>
      <c r="J16" s="459">
        <v>17.9317306778</v>
      </c>
      <c r="K16" s="459">
        <v>16.2290213596</v>
      </c>
      <c r="L16" s="459">
        <f>+'[8]Tabela_1-A'!C18/1000000</f>
        <v>10.15809448797</v>
      </c>
    </row>
    <row ht="13.8" outlineLevel="0" r="17">
      <c r="A17" s="458" t="s">
        <v>787</v>
      </c>
      <c r="B17" s="459">
        <v>14.71427889692</v>
      </c>
      <c r="C17" s="459">
        <v>19.51259079489</v>
      </c>
      <c r="D17" s="459">
        <v>20.437249613</v>
      </c>
      <c r="E17" s="459">
        <v>23.77946635838</v>
      </c>
      <c r="F17" s="459">
        <v>27.613754553</v>
      </c>
      <c r="G17" s="459">
        <v>31.86818150856</v>
      </c>
      <c r="H17" s="459">
        <v>35.89883265632</v>
      </c>
      <c r="I17" s="459">
        <v>38.05449646178</v>
      </c>
      <c r="J17" s="459">
        <v>37.7722115592</v>
      </c>
      <c r="K17" s="459">
        <v>38.00714513904</v>
      </c>
      <c r="L17" s="459">
        <f>+'[8]Tabela_1-A'!C19/1000000</f>
        <v>26.95759194526</v>
      </c>
    </row>
    <row ht="13.8" outlineLevel="0" r="18">
      <c r="A18" s="458" t="s">
        <v>810</v>
      </c>
      <c r="B18" s="459">
        <v>14.4322081362806</v>
      </c>
      <c r="C18" s="459">
        <v>16.3366780452855</v>
      </c>
      <c r="D18" s="459">
        <v>18.0888081596779</v>
      </c>
      <c r="E18" s="459">
        <v>20.301709989904</v>
      </c>
      <c r="F18" s="459">
        <v>23.0562356664198</v>
      </c>
      <c r="G18" s="459">
        <v>26.9940274300399</v>
      </c>
      <c r="H18" s="459">
        <v>28.7312464098044</v>
      </c>
      <c r="I18" s="459">
        <v>30.8646866685391</v>
      </c>
      <c r="J18" s="459">
        <v>32.339083602022</v>
      </c>
      <c r="K18" s="459">
        <v>36.9657527585715</v>
      </c>
      <c r="L18" s="459">
        <f>+'[8]Tabela_1-A'!C20/1000000</f>
        <v>94.680791069393</v>
      </c>
    </row>
    <row ht="13.8" outlineLevel="0" r="19">
      <c r="A19" s="461" t="s">
        <v>540</v>
      </c>
      <c r="B19" s="462">
        <v>-42.120505879342</v>
      </c>
      <c r="C19" s="462">
        <v>-78.707279176673</v>
      </c>
      <c r="D19" s="462">
        <v>-69.244242863244</v>
      </c>
      <c r="E19" s="462">
        <v>-63.7196088832141</v>
      </c>
      <c r="F19" s="462">
        <v>-76.0603846954079</v>
      </c>
      <c r="G19" s="462">
        <v>-82.657550626732</v>
      </c>
      <c r="H19" s="462">
        <v>-117.729478291319</v>
      </c>
      <c r="I19" s="462">
        <v>-150.580146736189</v>
      </c>
      <c r="J19" s="462">
        <v>-239.412066500862</v>
      </c>
      <c r="K19" s="462">
        <v>-278.092767199039</v>
      </c>
      <c r="L19" s="462">
        <f>+'[8]Tabela_1-A'!C21/1000000</f>
        <v>-234.375569687511</v>
      </c>
    </row>
    <row ht="13.8" outlineLevel="0" r="20">
      <c r="A20" s="461" t="s">
        <v>811</v>
      </c>
      <c r="B20" s="462"/>
      <c r="C20" s="462"/>
      <c r="D20" s="462"/>
      <c r="E20" s="462"/>
      <c r="F20" s="462">
        <v>54.80937906778</v>
      </c>
      <c r="G20" s="462">
        <v>60.12807931975</v>
      </c>
      <c r="H20" s="462">
        <v>59.87991809714</v>
      </c>
      <c r="I20" s="462">
        <v>60.62037692785</v>
      </c>
      <c r="J20" s="462">
        <v>91.96406149358</v>
      </c>
      <c r="K20" s="462">
        <v>100.3</v>
      </c>
      <c r="L20" s="462">
        <f>+'[8]Tabela_1-A'!C22/1000000</f>
        <v>0.1540130111</v>
      </c>
    </row>
    <row ht="13.8" outlineLevel="0" r="21">
      <c r="A21" s="461" t="s">
        <v>793</v>
      </c>
      <c r="B21" s="462"/>
      <c r="C21" s="462"/>
      <c r="D21" s="462"/>
      <c r="E21" s="462"/>
      <c r="F21" s="462">
        <f>+F19+F20</f>
        <v>-21.2510056276279</v>
      </c>
      <c r="G21" s="462">
        <f>+G19+G20</f>
        <v>-22.529471306982</v>
      </c>
      <c r="H21" s="462">
        <f>+H19+H20</f>
        <v>-57.849560194179</v>
      </c>
      <c r="I21" s="462">
        <f>+I19+I20</f>
        <v>-89.959769808339</v>
      </c>
      <c r="J21" s="462">
        <f>+J19+J20</f>
        <v>-147.448005007282</v>
      </c>
      <c r="K21" s="462">
        <f>+K19+K20</f>
        <v>-177.792767199039</v>
      </c>
      <c r="L21" s="462">
        <f>+'[8]Tabela_1-A'!C23/1000000</f>
        <v>-234.221556676411</v>
      </c>
    </row>
    <row ht="13.8" outlineLevel="0" r="22">
      <c r="A22" s="463"/>
      <c r="B22" s="463"/>
      <c r="C22" s="463"/>
      <c r="D22" s="463"/>
      <c r="E22" s="463"/>
      <c r="F22" s="463"/>
      <c r="G22" s="463"/>
      <c r="H22" s="463"/>
      <c r="I22" s="463"/>
      <c r="J22" s="463"/>
      <c r="K22" s="463"/>
    </row>
    <row ht="27.75" customHeight="1" outlineLevel="0" r="23">
      <c r="A23" s="463" t="s">
        <v>812</v>
      </c>
      <c r="B23" s="463"/>
      <c r="C23" s="463"/>
      <c r="D23" s="463"/>
      <c r="E23" s="463"/>
      <c r="F23" s="463"/>
      <c r="G23" s="463"/>
      <c r="H23" s="463"/>
      <c r="I23" s="463"/>
      <c r="J23" s="463"/>
      <c r="K23" s="463"/>
      <c r="L23" s="463"/>
    </row>
    <row ht="27.75" customHeight="1" outlineLevel="0" r="24">
      <c r="A24" s="463" t="s">
        <v>813</v>
      </c>
      <c r="B24" s="463"/>
      <c r="C24" s="463"/>
      <c r="D24" s="463"/>
      <c r="E24" s="463"/>
      <c r="F24" s="463"/>
      <c r="G24" s="463"/>
      <c r="H24" s="463"/>
      <c r="I24" s="463"/>
      <c r="J24" s="463"/>
      <c r="K24" s="463"/>
      <c r="L24" s="463"/>
    </row>
    <row ht="13.8" outlineLevel="0" r="27">
      <c r="A27" s="452" t="s">
        <v>814</v>
      </c>
    </row>
    <row ht="13.8" outlineLevel="0" r="28">
      <c r="A28" s="203" t="s">
        <v>441</v>
      </c>
    </row>
    <row ht="13.8" outlineLevel="0" r="29">
      <c r="A29" s="203" t="s">
        <v>450</v>
      </c>
      <c r="B29" s="464"/>
      <c r="C29" s="465"/>
      <c r="D29" s="465"/>
      <c r="E29" s="465"/>
      <c r="F29" s="465"/>
      <c r="G29" s="465"/>
    </row>
    <row ht="13.8" outlineLevel="0" r="30">
      <c r="A30" s="34" t="s">
        <v>763</v>
      </c>
      <c r="F30" s="66" t="s">
        <v>458</v>
      </c>
      <c r="G30" s="30" t="s">
        <v>459</v>
      </c>
      <c r="H30" s="30" t="s">
        <v>460</v>
      </c>
      <c r="I30" s="30" t="s">
        <v>461</v>
      </c>
      <c r="J30" s="30" t="s">
        <v>462</v>
      </c>
      <c r="K30" s="30" t="s">
        <v>463</v>
      </c>
      <c r="L30" s="34" t="str">
        <f>RCL_Compl!H80</f>
        <v>DEZ/2018</v>
      </c>
    </row>
    <row ht="13.8" outlineLevel="0" r="31">
      <c r="A31" s="466" t="s">
        <v>761</v>
      </c>
      <c r="F31" s="467">
        <v>524.8</v>
      </c>
      <c r="G31" s="467">
        <v>586.5</v>
      </c>
      <c r="H31" s="467">
        <v>623</v>
      </c>
      <c r="I31" s="467">
        <v>646</v>
      </c>
      <c r="J31" s="467">
        <v>635.3</v>
      </c>
      <c r="K31" s="467">
        <v>675.2</v>
      </c>
      <c r="L31" s="468">
        <f>[8]Tabela_1!$G$24/1000000</f>
        <v>701.11842251889</v>
      </c>
    </row>
    <row ht="13.8" outlineLevel="0" r="32">
      <c r="A32" s="466" t="s">
        <v>776</v>
      </c>
      <c r="F32" s="467">
        <v>600.9</v>
      </c>
      <c r="G32" s="467">
        <v>669.2</v>
      </c>
      <c r="H32" s="467">
        <v>740.7</v>
      </c>
      <c r="I32" s="467">
        <v>796.6</v>
      </c>
      <c r="J32" s="467">
        <v>874.7</v>
      </c>
      <c r="K32" s="467">
        <v>953.3</v>
      </c>
      <c r="L32" s="467">
        <f>[8]Tabela_1!$G$44/1000000</f>
        <v>935.493992206401</v>
      </c>
    </row>
    <row ht="13.8" outlineLevel="0" r="33">
      <c r="A33" s="469" t="s">
        <v>540</v>
      </c>
      <c r="F33" s="470">
        <v>-76.1</v>
      </c>
      <c r="G33" s="470">
        <v>-82.7</v>
      </c>
      <c r="H33" s="470">
        <v>-117.7</v>
      </c>
      <c r="I33" s="470">
        <v>-150.6</v>
      </c>
      <c r="J33" s="470">
        <v>-239.4</v>
      </c>
      <c r="K33" s="470">
        <v>-278.1</v>
      </c>
      <c r="L33" s="471">
        <f>L31-L32</f>
        <v>-234.375569687511</v>
      </c>
    </row>
    <row ht="13.8" outlineLevel="0" r="34">
      <c r="A34" s="466" t="s">
        <v>815</v>
      </c>
      <c r="F34" s="472">
        <v>54.8</v>
      </c>
      <c r="G34" s="472">
        <v>60.1</v>
      </c>
      <c r="H34" s="472">
        <v>59.9</v>
      </c>
      <c r="I34" s="472">
        <v>60.6</v>
      </c>
      <c r="J34" s="473">
        <v>92</v>
      </c>
      <c r="K34" s="473">
        <v>100.373078</v>
      </c>
      <c r="L34" s="473">
        <f>'[8]Tabela_1-A'!$D$115/1000000</f>
        <v>0</v>
      </c>
    </row>
    <row ht="13.8" outlineLevel="0" r="35">
      <c r="A35" s="474" t="s">
        <v>816</v>
      </c>
      <c r="F35" s="475">
        <v>-21.3</v>
      </c>
      <c r="G35" s="475">
        <v>-22.5</v>
      </c>
      <c r="H35" s="475">
        <v>-57.8</v>
      </c>
      <c r="I35" s="475">
        <v>-90</v>
      </c>
      <c r="J35" s="475">
        <v>-147.4</v>
      </c>
      <c r="K35" s="476">
        <v>-177.726922</v>
      </c>
      <c r="L35" s="476">
        <f>L33+L34</f>
        <v>-234.375569687511</v>
      </c>
    </row>
  </sheetData>
  <mergeCells count="3">
    <mergeCell ref="A22:K22"/>
    <mergeCell ref="A23:L23"/>
    <mergeCell ref="A24:L24"/>
  </mergeCells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262626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2"/>
  <cols>
    <col min="1" max="1" width="15.53" style="4" customWidth="1"/>
    <col min="2" max="2" width="32.4" style="4" customWidth="1"/>
    <col min="3" max="3" width="18.77" style="4" customWidth="1"/>
    <col min="4" max="4" width="29.43" style="4" customWidth="1"/>
    <col min="5" max="5" width="19.71" style="4" customWidth="1"/>
    <col min="6" max="6" width="30.1" style="4" customWidth="1"/>
    <col min="7" max="7" width="16.07" style="7" customWidth="1"/>
    <col min="8" max="8" width="27.54" style="7" customWidth="1"/>
    <col min="9" max="9" width="38.2" style="7" customWidth="1"/>
    <col min="10" max="10" width="36.31" style="7" customWidth="1"/>
    <col min="11" max="11" width="41.04" style="7" customWidth="1"/>
    <col min="12" max="12" width="23.49" style="7" customWidth="1"/>
    <col min="13" max="13" width="41.71" style="7" customWidth="1"/>
    <col min="14" max="14" width="25.92" style="7" customWidth="1"/>
    <col min="15" max="15" width="38.2" style="7" customWidth="1"/>
    <col min="16" max="16" width="36.31" style="7" customWidth="1"/>
    <col min="17" max="17" width="8.64" style="4" customWidth="1"/>
    <col min="18" max="18" width="13.23" style="4" customWidth="1"/>
    <col min="19" max="19" width="9.85" style="4" customWidth="1"/>
    <col min="20" max="1025" width="8.64" style="4" customWidth="1"/>
  </cols>
  <sheetData>
    <row ht="12.8" outlineLevel="0" r="1" s="23" customFormat="1">
      <c r="A1" s="23" t="s">
        <v>3</v>
      </c>
      <c r="B1" s="23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477" t="s">
        <v>6</v>
      </c>
    </row>
    <row ht="12.8" outlineLevel="0" r="2" s="4" customFormat="1">
      <c r="A2" s="17">
        <v>44287</v>
      </c>
      <c r="B2" s="4" t="s">
        <v>35</v>
      </c>
      <c r="C2" s="4" t="s">
        <v>36</v>
      </c>
      <c r="D2" s="4" t="s">
        <v>37</v>
      </c>
      <c r="E2" s="4" t="s">
        <v>16</v>
      </c>
      <c r="F2" s="4" t="s">
        <v>17</v>
      </c>
      <c r="G2" s="7">
        <v>13234819065.94</v>
      </c>
    </row>
    <row ht="12.8" outlineLevel="0" r="3" s="4" customFormat="1">
      <c r="A3" s="17">
        <v>44287</v>
      </c>
      <c r="B3" s="4" t="s">
        <v>35</v>
      </c>
      <c r="C3" s="4" t="s">
        <v>36</v>
      </c>
      <c r="D3" s="4" t="s">
        <v>37</v>
      </c>
      <c r="E3" s="4" t="s">
        <v>14</v>
      </c>
      <c r="F3" s="4" t="s">
        <v>15</v>
      </c>
      <c r="G3" s="7">
        <v>39492969406.92</v>
      </c>
    </row>
    <row ht="12.8" outlineLevel="0" r="4" s="4" customFormat="1">
      <c r="A4" s="17">
        <v>44287</v>
      </c>
      <c r="B4" s="4" t="s">
        <v>25</v>
      </c>
      <c r="C4" s="4" t="s">
        <v>23</v>
      </c>
      <c r="D4" s="4" t="s">
        <v>24</v>
      </c>
      <c r="E4" s="4" t="s">
        <v>18</v>
      </c>
      <c r="F4" s="4" t="s">
        <v>19</v>
      </c>
      <c r="G4" s="7">
        <v>522076419519.97</v>
      </c>
    </row>
    <row ht="12.8" outlineLevel="0" r="5" s="4" customFormat="1">
      <c r="A5" s="17">
        <v>44287</v>
      </c>
      <c r="B5" s="4" t="s">
        <v>22</v>
      </c>
      <c r="C5" s="4" t="s">
        <v>23</v>
      </c>
      <c r="D5" s="4" t="s">
        <v>24</v>
      </c>
      <c r="E5" s="4" t="s">
        <v>16</v>
      </c>
      <c r="F5" s="4" t="s">
        <v>17</v>
      </c>
      <c r="G5" s="7">
        <v>262286293127.53</v>
      </c>
    </row>
    <row ht="12.8" outlineLevel="0" r="6" s="4" customFormat="1">
      <c r="A6" s="17">
        <v>44287</v>
      </c>
      <c r="B6" s="4" t="s">
        <v>35</v>
      </c>
      <c r="C6" s="4" t="s">
        <v>36</v>
      </c>
      <c r="D6" s="4" t="s">
        <v>37</v>
      </c>
      <c r="E6" s="4" t="s">
        <v>18</v>
      </c>
      <c r="F6" s="4" t="s">
        <v>19</v>
      </c>
      <c r="G6" s="7">
        <v>13227298411.78</v>
      </c>
    </row>
    <row ht="12.8" outlineLevel="0" r="7" s="4" customFormat="1">
      <c r="A7" s="17">
        <v>44287</v>
      </c>
      <c r="B7" s="4" t="s">
        <v>29</v>
      </c>
      <c r="C7" s="4" t="s">
        <v>30</v>
      </c>
      <c r="D7" s="4" t="s">
        <v>31</v>
      </c>
      <c r="E7" s="4" t="s">
        <v>16</v>
      </c>
      <c r="F7" s="4" t="s">
        <v>17</v>
      </c>
      <c r="G7" s="7">
        <v>84131079038.2</v>
      </c>
    </row>
    <row ht="12.8" outlineLevel="0" r="8" s="4" customFormat="1">
      <c r="A8" s="17">
        <v>44287</v>
      </c>
      <c r="B8" s="4" t="s">
        <v>29</v>
      </c>
      <c r="C8" s="4" t="s">
        <v>30</v>
      </c>
      <c r="D8" s="4" t="s">
        <v>31</v>
      </c>
      <c r="E8" s="4" t="s">
        <v>14</v>
      </c>
      <c r="F8" s="4" t="s">
        <v>15</v>
      </c>
      <c r="G8" s="7">
        <v>94742088936.96</v>
      </c>
    </row>
    <row ht="12.8" outlineLevel="0" r="9" s="4" customFormat="1">
      <c r="A9" s="17">
        <v>44287</v>
      </c>
      <c r="B9" s="4" t="s">
        <v>22</v>
      </c>
      <c r="C9" s="4" t="s">
        <v>23</v>
      </c>
      <c r="D9" s="4" t="s">
        <v>24</v>
      </c>
      <c r="E9" s="4" t="s">
        <v>14</v>
      </c>
      <c r="F9" s="4" t="s">
        <v>15</v>
      </c>
      <c r="G9" s="7">
        <v>262489401564.44</v>
      </c>
    </row>
    <row ht="12.8" outlineLevel="0" r="10" s="4" customFormat="1">
      <c r="A10" s="17">
        <v>44287</v>
      </c>
      <c r="B10" s="4" t="s">
        <v>22</v>
      </c>
      <c r="C10" s="4" t="s">
        <v>23</v>
      </c>
      <c r="D10" s="4" t="s">
        <v>24</v>
      </c>
      <c r="E10" s="4" t="s">
        <v>10</v>
      </c>
      <c r="F10" s="4" t="s">
        <v>11</v>
      </c>
      <c r="G10" s="7">
        <v>271039373649</v>
      </c>
    </row>
    <row ht="12.8" outlineLevel="0" r="11" s="4" customFormat="1">
      <c r="A11" s="17">
        <v>44287</v>
      </c>
      <c r="B11" s="4" t="s">
        <v>22</v>
      </c>
      <c r="C11" s="4" t="s">
        <v>23</v>
      </c>
      <c r="D11" s="4" t="s">
        <v>24</v>
      </c>
      <c r="E11" s="4" t="s">
        <v>18</v>
      </c>
      <c r="F11" s="4" t="s">
        <v>19</v>
      </c>
      <c r="G11" s="7">
        <v>262286293127.53</v>
      </c>
    </row>
    <row ht="12.8" outlineLevel="0" r="12" s="4" customFormat="1">
      <c r="A12" s="17">
        <v>44287</v>
      </c>
      <c r="B12" s="4" t="s">
        <v>32</v>
      </c>
      <c r="C12" s="4" t="s">
        <v>33</v>
      </c>
      <c r="D12" s="4" t="s">
        <v>34</v>
      </c>
      <c r="E12" s="4" t="s">
        <v>14</v>
      </c>
      <c r="F12" s="4" t="s">
        <v>15</v>
      </c>
      <c r="G12" s="7">
        <v>4292911337.9448</v>
      </c>
    </row>
    <row ht="12.8" outlineLevel="0" r="13" s="4" customFormat="1">
      <c r="A13" s="17">
        <v>44287</v>
      </c>
      <c r="B13" s="4" t="s">
        <v>32</v>
      </c>
      <c r="C13" s="4" t="s">
        <v>33</v>
      </c>
      <c r="D13" s="4" t="s">
        <v>34</v>
      </c>
      <c r="E13" s="4" t="s">
        <v>16</v>
      </c>
      <c r="F13" s="4" t="s">
        <v>17</v>
      </c>
      <c r="G13" s="7">
        <v>856254125.9229</v>
      </c>
    </row>
    <row ht="12.8" outlineLevel="0" r="14" s="4" customFormat="1">
      <c r="A14" s="17">
        <v>44287</v>
      </c>
      <c r="B14" s="4" t="s">
        <v>32</v>
      </c>
      <c r="C14" s="4" t="s">
        <v>33</v>
      </c>
      <c r="D14" s="4" t="s">
        <v>34</v>
      </c>
      <c r="E14" s="4" t="s">
        <v>18</v>
      </c>
      <c r="F14" s="4" t="s">
        <v>19</v>
      </c>
      <c r="G14" s="7">
        <v>772884855.0629</v>
      </c>
    </row>
    <row ht="12.8" outlineLevel="0" r="15" s="4" customFormat="1">
      <c r="A15" s="17">
        <v>44287</v>
      </c>
      <c r="B15" s="4" t="s">
        <v>35</v>
      </c>
      <c r="C15" s="4" t="s">
        <v>36</v>
      </c>
      <c r="D15" s="4" t="s">
        <v>37</v>
      </c>
      <c r="E15" s="4" t="s">
        <v>10</v>
      </c>
      <c r="F15" s="4" t="s">
        <v>11</v>
      </c>
      <c r="G15" s="7">
        <v>81161996282</v>
      </c>
    </row>
    <row ht="12.8" outlineLevel="0" r="16" s="4" customFormat="1">
      <c r="A16" s="17">
        <v>44287</v>
      </c>
      <c r="B16" s="4" t="s">
        <v>25</v>
      </c>
      <c r="C16" s="4" t="s">
        <v>23</v>
      </c>
      <c r="D16" s="4" t="s">
        <v>24</v>
      </c>
      <c r="E16" s="4" t="s">
        <v>16</v>
      </c>
      <c r="F16" s="4" t="s">
        <v>17</v>
      </c>
      <c r="G16" s="7">
        <v>522076419519.97</v>
      </c>
    </row>
    <row ht="12.8" outlineLevel="0" r="17" s="4" customFormat="1">
      <c r="A17" s="17">
        <v>44287</v>
      </c>
      <c r="B17" s="4" t="s">
        <v>38</v>
      </c>
      <c r="C17" s="4" t="s">
        <v>39</v>
      </c>
      <c r="D17" s="4" t="s">
        <v>40</v>
      </c>
      <c r="E17" s="4" t="s">
        <v>10</v>
      </c>
      <c r="F17" s="4" t="s">
        <v>11</v>
      </c>
      <c r="G17" s="7">
        <v>41220676978</v>
      </c>
    </row>
    <row ht="12.8" outlineLevel="0" r="18" s="4" customFormat="1">
      <c r="A18" s="17">
        <v>44287</v>
      </c>
      <c r="B18" s="4" t="s">
        <v>25</v>
      </c>
      <c r="C18" s="4" t="s">
        <v>23</v>
      </c>
      <c r="D18" s="4" t="s">
        <v>24</v>
      </c>
      <c r="E18" s="4" t="s">
        <v>14</v>
      </c>
      <c r="F18" s="4" t="s">
        <v>15</v>
      </c>
      <c r="G18" s="7">
        <v>537142420941.11</v>
      </c>
    </row>
    <row ht="12.8" outlineLevel="0" r="19" s="4" customFormat="1">
      <c r="A19" s="17">
        <v>44287</v>
      </c>
      <c r="B19" s="4" t="s">
        <v>25</v>
      </c>
      <c r="C19" s="4" t="s">
        <v>23</v>
      </c>
      <c r="D19" s="4" t="s">
        <v>24</v>
      </c>
      <c r="E19" s="4" t="s">
        <v>10</v>
      </c>
      <c r="F19" s="4" t="s">
        <v>11</v>
      </c>
      <c r="G19" s="7">
        <v>1602745436493</v>
      </c>
    </row>
    <row ht="12.8" outlineLevel="0" r="20" s="4" customFormat="1">
      <c r="A20" s="17">
        <v>44287</v>
      </c>
      <c r="B20" s="4" t="s">
        <v>29</v>
      </c>
      <c r="C20" s="4" t="s">
        <v>30</v>
      </c>
      <c r="D20" s="4" t="s">
        <v>31</v>
      </c>
      <c r="E20" s="4" t="s">
        <v>18</v>
      </c>
      <c r="F20" s="4" t="s">
        <v>19</v>
      </c>
      <c r="G20" s="7">
        <v>84131079038.2</v>
      </c>
    </row>
    <row ht="12.8" outlineLevel="0" r="21" s="4" customFormat="1">
      <c r="A21" s="17">
        <v>44287</v>
      </c>
      <c r="B21" s="4" t="s">
        <v>32</v>
      </c>
      <c r="C21" s="4" t="s">
        <v>33</v>
      </c>
      <c r="D21" s="4" t="s">
        <v>34</v>
      </c>
      <c r="E21" s="4" t="s">
        <v>10</v>
      </c>
      <c r="F21" s="4" t="s">
        <v>11</v>
      </c>
      <c r="G21" s="7">
        <v>38536821339</v>
      </c>
    </row>
    <row ht="12.8" outlineLevel="0" r="22" s="4" customFormat="1">
      <c r="A22" s="17">
        <v>44287</v>
      </c>
      <c r="B22" s="4" t="s">
        <v>13</v>
      </c>
      <c r="C22" s="4" t="s">
        <v>8</v>
      </c>
      <c r="D22" s="4" t="s">
        <v>9</v>
      </c>
      <c r="E22" s="4" t="s">
        <v>18</v>
      </c>
      <c r="F22" s="4" t="s">
        <v>19</v>
      </c>
      <c r="G22" s="7">
        <v>87165876947.315</v>
      </c>
    </row>
    <row ht="12.8" outlineLevel="0" r="23" s="4" customFormat="1">
      <c r="A23" s="17">
        <v>44287</v>
      </c>
      <c r="B23" s="4" t="s">
        <v>13</v>
      </c>
      <c r="C23" s="4" t="s">
        <v>8</v>
      </c>
      <c r="D23" s="4" t="s">
        <v>9</v>
      </c>
      <c r="E23" s="4" t="s">
        <v>10</v>
      </c>
      <c r="F23" s="4" t="s">
        <v>11</v>
      </c>
      <c r="G23" s="7">
        <v>634350073984.5</v>
      </c>
    </row>
    <row ht="12.8" outlineLevel="0" r="24" s="4" customFormat="1">
      <c r="A24" s="17">
        <v>44287</v>
      </c>
      <c r="B24" s="4" t="s">
        <v>13</v>
      </c>
      <c r="C24" s="4" t="s">
        <v>8</v>
      </c>
      <c r="D24" s="4" t="s">
        <v>9</v>
      </c>
      <c r="E24" s="4" t="s">
        <v>16</v>
      </c>
      <c r="F24" s="4" t="s">
        <v>17</v>
      </c>
      <c r="G24" s="7">
        <v>92274138855.4575</v>
      </c>
    </row>
    <row ht="12.8" outlineLevel="0" r="25" s="4" customFormat="1">
      <c r="A25" s="17">
        <v>44287</v>
      </c>
      <c r="B25" s="4" t="s">
        <v>12</v>
      </c>
      <c r="C25" s="4" t="s">
        <v>8</v>
      </c>
      <c r="D25" s="4" t="s">
        <v>9</v>
      </c>
      <c r="E25" s="4" t="s">
        <v>10</v>
      </c>
      <c r="F25" s="4" t="s">
        <v>11</v>
      </c>
      <c r="G25" s="7">
        <v>439859601248</v>
      </c>
    </row>
    <row ht="12.8" outlineLevel="0" r="26" s="4" customFormat="1">
      <c r="A26" s="17">
        <v>44287</v>
      </c>
      <c r="B26" s="4" t="s">
        <v>12</v>
      </c>
      <c r="C26" s="4" t="s">
        <v>8</v>
      </c>
      <c r="D26" s="4" t="s">
        <v>9</v>
      </c>
      <c r="E26" s="4" t="s">
        <v>18</v>
      </c>
      <c r="F26" s="4" t="s">
        <v>19</v>
      </c>
      <c r="G26" s="7">
        <v>172853229897.05</v>
      </c>
    </row>
    <row ht="12.8" outlineLevel="0" r="27" s="4" customFormat="1">
      <c r="A27" s="17">
        <v>44287</v>
      </c>
      <c r="B27" s="4" t="s">
        <v>12</v>
      </c>
      <c r="C27" s="4" t="s">
        <v>8</v>
      </c>
      <c r="D27" s="4" t="s">
        <v>9</v>
      </c>
      <c r="E27" s="4" t="s">
        <v>16</v>
      </c>
      <c r="F27" s="4" t="s">
        <v>17</v>
      </c>
      <c r="G27" s="7">
        <v>214481663027.01</v>
      </c>
    </row>
    <row ht="12.8" outlineLevel="0" r="28" s="4" customFormat="1">
      <c r="A28" s="17">
        <v>44287</v>
      </c>
      <c r="B28" s="4" t="s">
        <v>7</v>
      </c>
      <c r="C28" s="4" t="s">
        <v>8</v>
      </c>
      <c r="D28" s="4" t="s">
        <v>9</v>
      </c>
      <c r="E28" s="4" t="s">
        <v>18</v>
      </c>
      <c r="F28" s="4" t="s">
        <v>19</v>
      </c>
      <c r="G28" s="7">
        <v>121585263968.52</v>
      </c>
    </row>
    <row ht="12.8" outlineLevel="0" r="29" s="4" customFormat="1">
      <c r="A29" s="17">
        <v>44287</v>
      </c>
      <c r="B29" s="4" t="s">
        <v>12</v>
      </c>
      <c r="C29" s="4" t="s">
        <v>8</v>
      </c>
      <c r="D29" s="4" t="s">
        <v>9</v>
      </c>
      <c r="E29" s="4" t="s">
        <v>14</v>
      </c>
      <c r="F29" s="4" t="s">
        <v>15</v>
      </c>
      <c r="G29" s="7">
        <v>256056184457.1</v>
      </c>
    </row>
    <row ht="12.8" outlineLevel="0" r="30" s="4" customFormat="1">
      <c r="A30" s="17">
        <v>44287</v>
      </c>
      <c r="B30" s="4" t="s">
        <v>26</v>
      </c>
      <c r="C30" s="4" t="s">
        <v>27</v>
      </c>
      <c r="D30" s="4" t="s">
        <v>28</v>
      </c>
      <c r="E30" s="4" t="s">
        <v>14</v>
      </c>
      <c r="F30" s="4" t="s">
        <v>15</v>
      </c>
      <c r="G30" s="7">
        <v>202550754589.666</v>
      </c>
    </row>
    <row ht="12.8" outlineLevel="0" r="31" s="4" customFormat="1">
      <c r="A31" s="17">
        <v>44287</v>
      </c>
      <c r="B31" s="4" t="s">
        <v>26</v>
      </c>
      <c r="C31" s="4" t="s">
        <v>27</v>
      </c>
      <c r="D31" s="4" t="s">
        <v>28</v>
      </c>
      <c r="E31" s="4" t="s">
        <v>10</v>
      </c>
      <c r="F31" s="4" t="s">
        <v>11</v>
      </c>
      <c r="G31" s="7">
        <v>363661318684</v>
      </c>
    </row>
    <row ht="12.8" outlineLevel="0" r="32" s="4" customFormat="1">
      <c r="A32" s="17">
        <v>44287</v>
      </c>
      <c r="B32" s="4" t="s">
        <v>7</v>
      </c>
      <c r="C32" s="4" t="s">
        <v>8</v>
      </c>
      <c r="D32" s="4" t="s">
        <v>9</v>
      </c>
      <c r="E32" s="4" t="s">
        <v>14</v>
      </c>
      <c r="F32" s="4" t="s">
        <v>15</v>
      </c>
      <c r="G32" s="7">
        <v>282745367785.05</v>
      </c>
      <c r="I32" s="478"/>
    </row>
    <row ht="12.8" outlineLevel="0" r="33" s="4" customFormat="1">
      <c r="A33" s="17">
        <v>44287</v>
      </c>
      <c r="B33" s="4" t="s">
        <v>7</v>
      </c>
      <c r="C33" s="4" t="s">
        <v>8</v>
      </c>
      <c r="D33" s="4" t="s">
        <v>9</v>
      </c>
      <c r="E33" s="4" t="s">
        <v>10</v>
      </c>
      <c r="F33" s="4" t="s">
        <v>11</v>
      </c>
      <c r="G33" s="7">
        <v>412307944210.72</v>
      </c>
    </row>
    <row ht="12.8" outlineLevel="0" r="34" s="4" customFormat="1">
      <c r="A34" s="17">
        <v>44287</v>
      </c>
      <c r="B34" s="4" t="s">
        <v>26</v>
      </c>
      <c r="C34" s="4" t="s">
        <v>27</v>
      </c>
      <c r="D34" s="4" t="s">
        <v>28</v>
      </c>
      <c r="E34" s="4" t="s">
        <v>16</v>
      </c>
      <c r="F34" s="4" t="s">
        <v>17</v>
      </c>
      <c r="G34" s="7">
        <v>106979766935.9</v>
      </c>
    </row>
    <row ht="12.8" outlineLevel="0" r="35" s="4" customFormat="1">
      <c r="A35" s="17">
        <v>44287</v>
      </c>
      <c r="B35" s="4" t="s">
        <v>7</v>
      </c>
      <c r="C35" s="4" t="s">
        <v>8</v>
      </c>
      <c r="D35" s="4" t="s">
        <v>9</v>
      </c>
      <c r="E35" s="4" t="s">
        <v>16</v>
      </c>
      <c r="F35" s="4" t="s">
        <v>17</v>
      </c>
      <c r="G35" s="7">
        <v>122500227172.12</v>
      </c>
    </row>
    <row ht="12.8" outlineLevel="0" r="36" s="4" customFormat="1">
      <c r="A36" s="17">
        <v>44287</v>
      </c>
      <c r="B36" s="4" t="s">
        <v>13</v>
      </c>
      <c r="C36" s="4" t="s">
        <v>8</v>
      </c>
      <c r="D36" s="4" t="s">
        <v>9</v>
      </c>
      <c r="E36" s="4" t="s">
        <v>14</v>
      </c>
      <c r="F36" s="4" t="s">
        <v>15</v>
      </c>
      <c r="G36" s="7">
        <v>208740904819.553</v>
      </c>
    </row>
    <row ht="12.8" outlineLevel="0" r="37" s="4" customFormat="1">
      <c r="A37" s="17">
        <v>44287</v>
      </c>
      <c r="B37" s="4" t="s">
        <v>29</v>
      </c>
      <c r="C37" s="4" t="s">
        <v>30</v>
      </c>
      <c r="D37" s="4" t="s">
        <v>31</v>
      </c>
      <c r="E37" s="4" t="s">
        <v>10</v>
      </c>
      <c r="F37" s="4" t="s">
        <v>11</v>
      </c>
      <c r="G37" s="7">
        <v>362618215092</v>
      </c>
    </row>
    <row ht="12.8" outlineLevel="0" r="38" s="4" customFormat="1">
      <c r="A38" s="17">
        <v>44287</v>
      </c>
      <c r="B38" s="4" t="s">
        <v>26</v>
      </c>
      <c r="C38" s="4" t="s">
        <v>27</v>
      </c>
      <c r="D38" s="4" t="s">
        <v>28</v>
      </c>
      <c r="E38" s="4" t="s">
        <v>18</v>
      </c>
      <c r="F38" s="4" t="s">
        <v>19</v>
      </c>
      <c r="G38" s="7">
        <v>90518124292.4502</v>
      </c>
    </row>
    <row ht="12.8" outlineLevel="0" r="39" s="4" customFormat="1">
      <c r="A39" s="17">
        <v>44256</v>
      </c>
      <c r="B39" s="4" t="s">
        <v>22</v>
      </c>
      <c r="C39" s="4" t="s">
        <v>23</v>
      </c>
      <c r="D39" s="4" t="s">
        <v>24</v>
      </c>
      <c r="E39" s="4" t="s">
        <v>16</v>
      </c>
      <c r="F39" s="4" t="s">
        <v>17</v>
      </c>
      <c r="G39" s="7">
        <v>30055817481.45</v>
      </c>
    </row>
    <row ht="12.8" outlineLevel="0" r="40" s="4" customFormat="1">
      <c r="A40" s="17">
        <v>44256</v>
      </c>
      <c r="B40" s="4" t="s">
        <v>22</v>
      </c>
      <c r="C40" s="4" t="s">
        <v>23</v>
      </c>
      <c r="D40" s="4" t="s">
        <v>24</v>
      </c>
      <c r="E40" s="4" t="s">
        <v>18</v>
      </c>
      <c r="F40" s="4" t="s">
        <v>19</v>
      </c>
      <c r="G40" s="7">
        <v>30055817481.45</v>
      </c>
    </row>
    <row ht="12.8" outlineLevel="0" r="41" s="4" customFormat="1">
      <c r="A41" s="17">
        <v>44256</v>
      </c>
      <c r="B41" s="4" t="s">
        <v>38</v>
      </c>
      <c r="C41" s="4" t="s">
        <v>39</v>
      </c>
      <c r="D41" s="4" t="s">
        <v>40</v>
      </c>
      <c r="E41" s="4" t="s">
        <v>10</v>
      </c>
      <c r="F41" s="4" t="s">
        <v>11</v>
      </c>
      <c r="G41" s="7">
        <v>105779374</v>
      </c>
    </row>
    <row ht="12.8" outlineLevel="0" r="42" s="4" customFormat="1">
      <c r="A42" s="17">
        <v>44256</v>
      </c>
      <c r="B42" s="4" t="s">
        <v>25</v>
      </c>
      <c r="C42" s="4" t="s">
        <v>23</v>
      </c>
      <c r="D42" s="4" t="s">
        <v>24</v>
      </c>
      <c r="E42" s="4" t="s">
        <v>14</v>
      </c>
      <c r="F42" s="4" t="s">
        <v>15</v>
      </c>
      <c r="G42" s="7">
        <v>403032580490.04</v>
      </c>
    </row>
    <row ht="12.8" outlineLevel="0" r="43" s="4" customFormat="1">
      <c r="A43" s="17">
        <v>44256</v>
      </c>
      <c r="B43" s="4" t="s">
        <v>25</v>
      </c>
      <c r="C43" s="4" t="s">
        <v>23</v>
      </c>
      <c r="D43" s="4" t="s">
        <v>24</v>
      </c>
      <c r="E43" s="4" t="s">
        <v>10</v>
      </c>
      <c r="F43" s="4" t="s">
        <v>11</v>
      </c>
      <c r="G43" s="7">
        <v>1602745436493</v>
      </c>
    </row>
    <row ht="12.8" outlineLevel="0" r="44" s="4" customFormat="1">
      <c r="A44" s="17">
        <v>44256</v>
      </c>
      <c r="B44" s="4" t="s">
        <v>26</v>
      </c>
      <c r="C44" s="4" t="s">
        <v>27</v>
      </c>
      <c r="D44" s="4" t="s">
        <v>28</v>
      </c>
      <c r="E44" s="4" t="s">
        <v>10</v>
      </c>
      <c r="F44" s="4" t="s">
        <v>11</v>
      </c>
      <c r="G44" s="7">
        <v>262200596707</v>
      </c>
    </row>
    <row ht="12.8" outlineLevel="0" r="45" s="4" customFormat="1">
      <c r="A45" s="17">
        <v>44256</v>
      </c>
      <c r="B45" s="4" t="s">
        <v>7</v>
      </c>
      <c r="C45" s="4" t="s">
        <v>8</v>
      </c>
      <c r="D45" s="4" t="s">
        <v>9</v>
      </c>
      <c r="E45" s="4" t="s">
        <v>10</v>
      </c>
      <c r="F45" s="4" t="s">
        <v>11</v>
      </c>
      <c r="G45" s="7">
        <v>363001241304.56</v>
      </c>
    </row>
    <row ht="12.8" outlineLevel="0" r="46" s="4" customFormat="1">
      <c r="A46" s="17">
        <v>44256</v>
      </c>
      <c r="B46" s="4" t="s">
        <v>32</v>
      </c>
      <c r="C46" s="4" t="s">
        <v>33</v>
      </c>
      <c r="D46" s="4" t="s">
        <v>34</v>
      </c>
      <c r="E46" s="4" t="s">
        <v>16</v>
      </c>
      <c r="F46" s="4" t="s">
        <v>17</v>
      </c>
      <c r="G46" s="7">
        <v>507077577.7355</v>
      </c>
    </row>
    <row ht="12.8" outlineLevel="0" r="47" s="4" customFormat="1">
      <c r="A47" s="17">
        <v>44256</v>
      </c>
      <c r="B47" s="4" t="s">
        <v>29</v>
      </c>
      <c r="C47" s="4" t="s">
        <v>30</v>
      </c>
      <c r="D47" s="4" t="s">
        <v>31</v>
      </c>
      <c r="E47" s="4" t="s">
        <v>14</v>
      </c>
      <c r="F47" s="4" t="s">
        <v>15</v>
      </c>
      <c r="G47" s="7">
        <v>70590490879.34</v>
      </c>
    </row>
    <row ht="12.8" outlineLevel="0" r="48" s="4" customFormat="1">
      <c r="A48" s="17">
        <v>44256</v>
      </c>
      <c r="B48" s="4" t="s">
        <v>22</v>
      </c>
      <c r="C48" s="4" t="s">
        <v>23</v>
      </c>
      <c r="D48" s="4" t="s">
        <v>24</v>
      </c>
      <c r="E48" s="4" t="s">
        <v>14</v>
      </c>
      <c r="F48" s="4" t="s">
        <v>15</v>
      </c>
      <c r="G48" s="7">
        <v>163311195641.33</v>
      </c>
    </row>
    <row ht="12.8" outlineLevel="0" r="49" s="4" customFormat="1">
      <c r="A49" s="17">
        <v>44256</v>
      </c>
      <c r="B49" s="4" t="s">
        <v>35</v>
      </c>
      <c r="C49" s="4" t="s">
        <v>36</v>
      </c>
      <c r="D49" s="4" t="s">
        <v>37</v>
      </c>
      <c r="E49" s="4" t="s">
        <v>16</v>
      </c>
      <c r="F49" s="4" t="s">
        <v>17</v>
      </c>
      <c r="G49" s="7">
        <v>9318801858.77</v>
      </c>
    </row>
    <row ht="12.8" outlineLevel="0" r="50" s="4" customFormat="1">
      <c r="A50" s="17">
        <v>44256</v>
      </c>
      <c r="B50" s="4" t="s">
        <v>35</v>
      </c>
      <c r="C50" s="4" t="s">
        <v>36</v>
      </c>
      <c r="D50" s="4" t="s">
        <v>37</v>
      </c>
      <c r="E50" s="4" t="s">
        <v>18</v>
      </c>
      <c r="F50" s="4" t="s">
        <v>19</v>
      </c>
      <c r="G50" s="7">
        <v>9317248004.42</v>
      </c>
    </row>
    <row ht="12.8" outlineLevel="0" r="51" s="4" customFormat="1">
      <c r="A51" s="17">
        <v>44256</v>
      </c>
      <c r="B51" s="4" t="s">
        <v>22</v>
      </c>
      <c r="C51" s="4" t="s">
        <v>23</v>
      </c>
      <c r="D51" s="4" t="s">
        <v>24</v>
      </c>
      <c r="E51" s="4" t="s">
        <v>10</v>
      </c>
      <c r="F51" s="4" t="s">
        <v>11</v>
      </c>
      <c r="G51" s="7">
        <v>271039373649</v>
      </c>
    </row>
    <row ht="12.8" outlineLevel="0" r="52" s="4" customFormat="1">
      <c r="A52" s="17">
        <v>44256</v>
      </c>
      <c r="B52" s="4" t="s">
        <v>32</v>
      </c>
      <c r="C52" s="4" t="s">
        <v>33</v>
      </c>
      <c r="D52" s="4" t="s">
        <v>34</v>
      </c>
      <c r="E52" s="4" t="s">
        <v>18</v>
      </c>
      <c r="F52" s="4" t="s">
        <v>19</v>
      </c>
      <c r="G52" s="7">
        <v>472188566.9555</v>
      </c>
    </row>
    <row ht="12.8" outlineLevel="0" r="53" s="4" customFormat="1">
      <c r="A53" s="17">
        <v>44256</v>
      </c>
      <c r="B53" s="4" t="s">
        <v>25</v>
      </c>
      <c r="C53" s="4" t="s">
        <v>23</v>
      </c>
      <c r="D53" s="4" t="s">
        <v>24</v>
      </c>
      <c r="E53" s="4" t="s">
        <v>16</v>
      </c>
      <c r="F53" s="4" t="s">
        <v>17</v>
      </c>
      <c r="G53" s="7">
        <v>400669464179.99</v>
      </c>
    </row>
    <row ht="12.8" outlineLevel="0" r="54" s="4" customFormat="1">
      <c r="A54" s="17">
        <v>44256</v>
      </c>
      <c r="B54" s="4" t="s">
        <v>25</v>
      </c>
      <c r="C54" s="4" t="s">
        <v>23</v>
      </c>
      <c r="D54" s="4" t="s">
        <v>24</v>
      </c>
      <c r="E54" s="4" t="s">
        <v>18</v>
      </c>
      <c r="F54" s="4" t="s">
        <v>19</v>
      </c>
      <c r="G54" s="7">
        <v>400669464179.99</v>
      </c>
    </row>
    <row ht="12.8" outlineLevel="0" r="55" s="4" customFormat="1">
      <c r="A55" s="17">
        <v>44256</v>
      </c>
      <c r="B55" s="4" t="s">
        <v>35</v>
      </c>
      <c r="C55" s="4" t="s">
        <v>36</v>
      </c>
      <c r="D55" s="4" t="s">
        <v>37</v>
      </c>
      <c r="E55" s="4" t="s">
        <v>10</v>
      </c>
      <c r="F55" s="4" t="s">
        <v>11</v>
      </c>
      <c r="G55" s="7">
        <v>53724076328</v>
      </c>
    </row>
    <row ht="12.8" outlineLevel="0" r="56" s="4" customFormat="1">
      <c r="A56" s="17">
        <v>44256</v>
      </c>
      <c r="B56" s="4" t="s">
        <v>35</v>
      </c>
      <c r="C56" s="4" t="s">
        <v>36</v>
      </c>
      <c r="D56" s="4" t="s">
        <v>37</v>
      </c>
      <c r="E56" s="4" t="s">
        <v>14</v>
      </c>
      <c r="F56" s="4" t="s">
        <v>15</v>
      </c>
      <c r="G56" s="7">
        <v>35921996040.84</v>
      </c>
    </row>
    <row ht="12.8" outlineLevel="0" r="57" s="4" customFormat="1">
      <c r="A57" s="17">
        <v>44256</v>
      </c>
      <c r="B57" s="4" t="s">
        <v>7</v>
      </c>
      <c r="C57" s="4" t="s">
        <v>8</v>
      </c>
      <c r="D57" s="4" t="s">
        <v>9</v>
      </c>
      <c r="E57" s="4" t="s">
        <v>16</v>
      </c>
      <c r="F57" s="4" t="s">
        <v>17</v>
      </c>
      <c r="G57" s="7">
        <v>92679491375.43</v>
      </c>
    </row>
    <row ht="12.8" outlineLevel="0" r="58" s="4" customFormat="1">
      <c r="A58" s="17">
        <v>44256</v>
      </c>
      <c r="B58" s="4" t="s">
        <v>13</v>
      </c>
      <c r="C58" s="4" t="s">
        <v>8</v>
      </c>
      <c r="D58" s="4" t="s">
        <v>9</v>
      </c>
      <c r="E58" s="4" t="s">
        <v>10</v>
      </c>
      <c r="F58" s="4" t="s">
        <v>11</v>
      </c>
      <c r="G58" s="7">
        <v>309651735414.8</v>
      </c>
    </row>
    <row ht="12.8" outlineLevel="0" r="59" s="4" customFormat="1">
      <c r="A59" s="17">
        <v>44256</v>
      </c>
      <c r="B59" s="4" t="s">
        <v>13</v>
      </c>
      <c r="C59" s="4" t="s">
        <v>8</v>
      </c>
      <c r="D59" s="4" t="s">
        <v>9</v>
      </c>
      <c r="E59" s="4" t="s">
        <v>14</v>
      </c>
      <c r="F59" s="4" t="s">
        <v>15</v>
      </c>
      <c r="G59" s="7">
        <v>194510798727.914</v>
      </c>
    </row>
    <row ht="12.8" outlineLevel="0" r="60" s="4" customFormat="1">
      <c r="A60" s="17">
        <v>44256</v>
      </c>
      <c r="B60" s="4" t="s">
        <v>13</v>
      </c>
      <c r="C60" s="4" t="s">
        <v>8</v>
      </c>
      <c r="D60" s="4" t="s">
        <v>9</v>
      </c>
      <c r="E60" s="4" t="s">
        <v>18</v>
      </c>
      <c r="F60" s="4" t="s">
        <v>19</v>
      </c>
      <c r="G60" s="7">
        <v>58678428027.2824</v>
      </c>
    </row>
    <row ht="12.8" outlineLevel="0" r="61" s="4" customFormat="1">
      <c r="A61" s="17">
        <v>44256</v>
      </c>
      <c r="B61" s="4" t="s">
        <v>12</v>
      </c>
      <c r="C61" s="4" t="s">
        <v>8</v>
      </c>
      <c r="D61" s="4" t="s">
        <v>9</v>
      </c>
      <c r="E61" s="4" t="s">
        <v>18</v>
      </c>
      <c r="F61" s="4" t="s">
        <v>19</v>
      </c>
      <c r="G61" s="7">
        <v>118937121031.49</v>
      </c>
    </row>
    <row ht="12.8" outlineLevel="0" r="62" s="4" customFormat="1">
      <c r="A62" s="17">
        <v>44256</v>
      </c>
      <c r="B62" s="4" t="s">
        <v>12</v>
      </c>
      <c r="C62" s="4" t="s">
        <v>8</v>
      </c>
      <c r="D62" s="4" t="s">
        <v>9</v>
      </c>
      <c r="E62" s="4" t="s">
        <v>14</v>
      </c>
      <c r="F62" s="4" t="s">
        <v>15</v>
      </c>
      <c r="G62" s="7">
        <v>234299275249.89</v>
      </c>
    </row>
    <row ht="12.8" outlineLevel="0" r="63" s="4" customFormat="1">
      <c r="A63" s="17">
        <v>44256</v>
      </c>
      <c r="B63" s="4" t="s">
        <v>32</v>
      </c>
      <c r="C63" s="4" t="s">
        <v>33</v>
      </c>
      <c r="D63" s="4" t="s">
        <v>34</v>
      </c>
      <c r="E63" s="4" t="s">
        <v>14</v>
      </c>
      <c r="F63" s="4" t="s">
        <v>15</v>
      </c>
      <c r="G63" s="7">
        <v>1534909614.3324</v>
      </c>
    </row>
    <row ht="12.8" outlineLevel="0" r="64" s="4" customFormat="1">
      <c r="A64" s="17">
        <v>44256</v>
      </c>
      <c r="B64" s="4" t="s">
        <v>32</v>
      </c>
      <c r="C64" s="4" t="s">
        <v>33</v>
      </c>
      <c r="D64" s="4" t="s">
        <v>34</v>
      </c>
      <c r="E64" s="4" t="s">
        <v>10</v>
      </c>
      <c r="F64" s="4" t="s">
        <v>11</v>
      </c>
      <c r="G64" s="7">
        <v>12163535858</v>
      </c>
    </row>
    <row ht="12.8" outlineLevel="0" r="65" s="4" customFormat="1">
      <c r="A65" s="17">
        <v>44256</v>
      </c>
      <c r="B65" s="4" t="s">
        <v>12</v>
      </c>
      <c r="C65" s="4" t="s">
        <v>8</v>
      </c>
      <c r="D65" s="4" t="s">
        <v>9</v>
      </c>
      <c r="E65" s="4" t="s">
        <v>10</v>
      </c>
      <c r="F65" s="4" t="s">
        <v>11</v>
      </c>
      <c r="G65" s="7">
        <v>430692827249</v>
      </c>
    </row>
    <row ht="12.8" outlineLevel="0" r="66" s="4" customFormat="1">
      <c r="A66" s="17">
        <v>44256</v>
      </c>
      <c r="B66" s="4" t="s">
        <v>7</v>
      </c>
      <c r="C66" s="4" t="s">
        <v>8</v>
      </c>
      <c r="D66" s="4" t="s">
        <v>9</v>
      </c>
      <c r="E66" s="4" t="s">
        <v>18</v>
      </c>
      <c r="F66" s="4" t="s">
        <v>19</v>
      </c>
      <c r="G66" s="7">
        <v>88340015097.12</v>
      </c>
    </row>
    <row ht="12.8" outlineLevel="0" r="67" s="4" customFormat="1">
      <c r="A67" s="17">
        <v>44256</v>
      </c>
      <c r="B67" s="4" t="s">
        <v>29</v>
      </c>
      <c r="C67" s="4" t="s">
        <v>30</v>
      </c>
      <c r="D67" s="4" t="s">
        <v>31</v>
      </c>
      <c r="E67" s="4" t="s">
        <v>18</v>
      </c>
      <c r="F67" s="4" t="s">
        <v>19</v>
      </c>
      <c r="G67" s="7">
        <v>59726384504.12</v>
      </c>
    </row>
    <row ht="12.8" outlineLevel="0" r="68" s="4" customFormat="1">
      <c r="A68" s="17">
        <v>44256</v>
      </c>
      <c r="B68" s="4" t="s">
        <v>29</v>
      </c>
      <c r="C68" s="4" t="s">
        <v>30</v>
      </c>
      <c r="D68" s="4" t="s">
        <v>31</v>
      </c>
      <c r="E68" s="4" t="s">
        <v>16</v>
      </c>
      <c r="F68" s="4" t="s">
        <v>17</v>
      </c>
      <c r="G68" s="7">
        <v>59726384504.12</v>
      </c>
    </row>
    <row ht="12.8" outlineLevel="0" r="69" s="4" customFormat="1">
      <c r="A69" s="17">
        <v>44256</v>
      </c>
      <c r="B69" s="4" t="s">
        <v>7</v>
      </c>
      <c r="C69" s="4" t="s">
        <v>8</v>
      </c>
      <c r="D69" s="4" t="s">
        <v>9</v>
      </c>
      <c r="E69" s="4" t="s">
        <v>14</v>
      </c>
      <c r="F69" s="4" t="s">
        <v>15</v>
      </c>
      <c r="G69" s="7">
        <v>272605545030.88</v>
      </c>
    </row>
    <row ht="12.8" outlineLevel="0" r="70" s="4" customFormat="1">
      <c r="A70" s="17">
        <v>44256</v>
      </c>
      <c r="B70" s="4" t="s">
        <v>26</v>
      </c>
      <c r="C70" s="4" t="s">
        <v>27</v>
      </c>
      <c r="D70" s="4" t="s">
        <v>28</v>
      </c>
      <c r="E70" s="4" t="s">
        <v>14</v>
      </c>
      <c r="F70" s="4" t="s">
        <v>15</v>
      </c>
      <c r="G70" s="7">
        <v>192501306008.093</v>
      </c>
    </row>
    <row ht="12.8" outlineLevel="0" r="71" s="4" customFormat="1">
      <c r="A71" s="17">
        <v>44256</v>
      </c>
      <c r="B71" s="4" t="s">
        <v>29</v>
      </c>
      <c r="C71" s="4" t="s">
        <v>30</v>
      </c>
      <c r="D71" s="4" t="s">
        <v>31</v>
      </c>
      <c r="E71" s="4" t="s">
        <v>10</v>
      </c>
      <c r="F71" s="4" t="s">
        <v>11</v>
      </c>
      <c r="G71" s="7">
        <v>362618192153</v>
      </c>
    </row>
    <row ht="12.8" outlineLevel="0" r="72" s="4" customFormat="1">
      <c r="A72" s="17">
        <v>44256</v>
      </c>
      <c r="B72" s="4" t="s">
        <v>12</v>
      </c>
      <c r="C72" s="4" t="s">
        <v>8</v>
      </c>
      <c r="D72" s="4" t="s">
        <v>9</v>
      </c>
      <c r="E72" s="4" t="s">
        <v>16</v>
      </c>
      <c r="F72" s="4" t="s">
        <v>17</v>
      </c>
      <c r="G72" s="7">
        <v>160285477642.74</v>
      </c>
    </row>
    <row ht="12.8" outlineLevel="0" r="73" s="4" customFormat="1">
      <c r="A73" s="17">
        <v>44256</v>
      </c>
      <c r="B73" s="4" t="s">
        <v>13</v>
      </c>
      <c r="C73" s="4" t="s">
        <v>8</v>
      </c>
      <c r="D73" s="4" t="s">
        <v>9</v>
      </c>
      <c r="E73" s="4" t="s">
        <v>16</v>
      </c>
      <c r="F73" s="4" t="s">
        <v>17</v>
      </c>
      <c r="G73" s="7">
        <v>63391845327.5852</v>
      </c>
    </row>
    <row ht="12.8" outlineLevel="0" r="74" s="4" customFormat="1">
      <c r="A74" s="17">
        <v>44256</v>
      </c>
      <c r="B74" s="4" t="s">
        <v>26</v>
      </c>
      <c r="C74" s="4" t="s">
        <v>27</v>
      </c>
      <c r="D74" s="4" t="s">
        <v>28</v>
      </c>
      <c r="E74" s="4" t="s">
        <v>16</v>
      </c>
      <c r="F74" s="4" t="s">
        <v>17</v>
      </c>
      <c r="G74" s="7">
        <v>80653084593.8053</v>
      </c>
    </row>
    <row ht="12.8" outlineLevel="0" r="75" s="4" customFormat="1">
      <c r="A75" s="17">
        <v>44256</v>
      </c>
      <c r="B75" s="4" t="s">
        <v>26</v>
      </c>
      <c r="C75" s="4" t="s">
        <v>27</v>
      </c>
      <c r="D75" s="4" t="s">
        <v>28</v>
      </c>
      <c r="E75" s="4" t="s">
        <v>18</v>
      </c>
      <c r="F75" s="4" t="s">
        <v>19</v>
      </c>
      <c r="G75" s="7">
        <v>64197507260.4053</v>
      </c>
    </row>
    <row ht="12.8" outlineLevel="0" r="76" s="4" customFormat="1">
      <c r="A76" s="17">
        <v>44228</v>
      </c>
      <c r="B76" s="4" t="s">
        <v>7</v>
      </c>
      <c r="C76" s="4" t="s">
        <v>8</v>
      </c>
      <c r="D76" s="4" t="s">
        <v>9</v>
      </c>
      <c r="E76" s="4" t="s">
        <v>14</v>
      </c>
      <c r="F76" s="4" t="s">
        <v>15</v>
      </c>
      <c r="G76" s="7">
        <v>260085711641.05</v>
      </c>
    </row>
    <row ht="12.8" outlineLevel="0" r="77" s="4" customFormat="1">
      <c r="A77" s="17">
        <v>44228</v>
      </c>
      <c r="B77" s="4" t="s">
        <v>7</v>
      </c>
      <c r="C77" s="4" t="s">
        <v>8</v>
      </c>
      <c r="D77" s="4" t="s">
        <v>9</v>
      </c>
      <c r="E77" s="4" t="s">
        <v>10</v>
      </c>
      <c r="F77" s="4" t="s">
        <v>11</v>
      </c>
      <c r="G77" s="7">
        <v>359282956900.38</v>
      </c>
    </row>
    <row ht="12.8" outlineLevel="0" r="78" s="4" customFormat="1">
      <c r="A78" s="17">
        <v>44228</v>
      </c>
      <c r="B78" s="4" t="s">
        <v>25</v>
      </c>
      <c r="C78" s="4" t="s">
        <v>23</v>
      </c>
      <c r="D78" s="4" t="s">
        <v>24</v>
      </c>
      <c r="E78" s="4" t="s">
        <v>10</v>
      </c>
      <c r="F78" s="4" t="s">
        <v>11</v>
      </c>
      <c r="G78" s="7">
        <v>1602685436493</v>
      </c>
    </row>
    <row ht="12.8" outlineLevel="0" r="79" s="4" customFormat="1">
      <c r="A79" s="17">
        <v>44228</v>
      </c>
      <c r="B79" s="4" t="s">
        <v>35</v>
      </c>
      <c r="C79" s="4" t="s">
        <v>36</v>
      </c>
      <c r="D79" s="4" t="s">
        <v>37</v>
      </c>
      <c r="E79" s="4" t="s">
        <v>16</v>
      </c>
      <c r="F79" s="4" t="s">
        <v>17</v>
      </c>
      <c r="G79" s="7">
        <v>6132162916.82</v>
      </c>
    </row>
    <row ht="12.8" outlineLevel="0" r="80" s="4" customFormat="1">
      <c r="A80" s="17">
        <v>44228</v>
      </c>
      <c r="B80" s="4" t="s">
        <v>26</v>
      </c>
      <c r="C80" s="4" t="s">
        <v>27</v>
      </c>
      <c r="D80" s="4" t="s">
        <v>28</v>
      </c>
      <c r="E80" s="4" t="s">
        <v>10</v>
      </c>
      <c r="F80" s="4" t="s">
        <v>11</v>
      </c>
      <c r="G80" s="7">
        <v>234112143962</v>
      </c>
    </row>
    <row ht="12.8" outlineLevel="0" r="81" s="4" customFormat="1">
      <c r="A81" s="17">
        <v>44228</v>
      </c>
      <c r="B81" s="4" t="s">
        <v>7</v>
      </c>
      <c r="C81" s="4" t="s">
        <v>8</v>
      </c>
      <c r="D81" s="4" t="s">
        <v>9</v>
      </c>
      <c r="E81" s="4" t="s">
        <v>16</v>
      </c>
      <c r="F81" s="4" t="s">
        <v>17</v>
      </c>
      <c r="G81" s="7">
        <v>55510235278.12</v>
      </c>
    </row>
    <row ht="12.8" outlineLevel="0" r="82" s="4" customFormat="1">
      <c r="A82" s="17">
        <v>44228</v>
      </c>
      <c r="B82" s="4" t="s">
        <v>26</v>
      </c>
      <c r="C82" s="4" t="s">
        <v>27</v>
      </c>
      <c r="D82" s="4" t="s">
        <v>28</v>
      </c>
      <c r="E82" s="4" t="s">
        <v>14</v>
      </c>
      <c r="F82" s="4" t="s">
        <v>15</v>
      </c>
      <c r="G82" s="7">
        <v>164530930694.267</v>
      </c>
    </row>
    <row ht="12.8" outlineLevel="0" r="83" s="4" customFormat="1">
      <c r="A83" s="17">
        <v>44228</v>
      </c>
      <c r="B83" s="4" t="s">
        <v>12</v>
      </c>
      <c r="C83" s="4" t="s">
        <v>8</v>
      </c>
      <c r="D83" s="4" t="s">
        <v>9</v>
      </c>
      <c r="E83" s="4" t="s">
        <v>10</v>
      </c>
      <c r="F83" s="4" t="s">
        <v>11</v>
      </c>
      <c r="G83" s="7">
        <v>430692827249</v>
      </c>
    </row>
    <row ht="12.8" outlineLevel="0" r="84" s="4" customFormat="1">
      <c r="A84" s="17">
        <v>44228</v>
      </c>
      <c r="B84" s="4" t="s">
        <v>7</v>
      </c>
      <c r="C84" s="4" t="s">
        <v>8</v>
      </c>
      <c r="D84" s="4" t="s">
        <v>9</v>
      </c>
      <c r="E84" s="4" t="s">
        <v>18</v>
      </c>
      <c r="F84" s="4" t="s">
        <v>19</v>
      </c>
      <c r="G84" s="7">
        <v>55510235278.12</v>
      </c>
    </row>
    <row ht="12.8" outlineLevel="0" r="85" s="4" customFormat="1">
      <c r="A85" s="17">
        <v>44228</v>
      </c>
      <c r="B85" s="4" t="s">
        <v>22</v>
      </c>
      <c r="C85" s="4" t="s">
        <v>23</v>
      </c>
      <c r="D85" s="4" t="s">
        <v>24</v>
      </c>
      <c r="E85" s="4" t="s">
        <v>10</v>
      </c>
      <c r="F85" s="4" t="s">
        <v>11</v>
      </c>
      <c r="G85" s="7">
        <v>271099373649</v>
      </c>
    </row>
    <row ht="12.8" outlineLevel="0" r="86" s="4" customFormat="1">
      <c r="A86" s="17">
        <v>44228</v>
      </c>
      <c r="B86" s="4" t="s">
        <v>25</v>
      </c>
      <c r="C86" s="4" t="s">
        <v>23</v>
      </c>
      <c r="D86" s="4" t="s">
        <v>24</v>
      </c>
      <c r="E86" s="4" t="s">
        <v>16</v>
      </c>
      <c r="F86" s="4" t="s">
        <v>17</v>
      </c>
      <c r="G86" s="7">
        <v>223526636863.86</v>
      </c>
    </row>
    <row ht="12.8" outlineLevel="0" r="87" s="4" customFormat="1">
      <c r="A87" s="17">
        <v>44228</v>
      </c>
      <c r="B87" s="4" t="s">
        <v>22</v>
      </c>
      <c r="C87" s="4" t="s">
        <v>23</v>
      </c>
      <c r="D87" s="4" t="s">
        <v>24</v>
      </c>
      <c r="E87" s="4" t="s">
        <v>14</v>
      </c>
      <c r="F87" s="4" t="s">
        <v>15</v>
      </c>
      <c r="G87" s="7">
        <v>30159373146.22</v>
      </c>
    </row>
    <row ht="12.8" outlineLevel="0" r="88" s="4" customFormat="1">
      <c r="A88" s="17">
        <v>44228</v>
      </c>
      <c r="B88" s="4" t="s">
        <v>35</v>
      </c>
      <c r="C88" s="4" t="s">
        <v>36</v>
      </c>
      <c r="D88" s="4" t="s">
        <v>37</v>
      </c>
      <c r="E88" s="4" t="s">
        <v>18</v>
      </c>
      <c r="F88" s="4" t="s">
        <v>19</v>
      </c>
      <c r="G88" s="7">
        <v>6131291819.61</v>
      </c>
    </row>
    <row ht="12.8" outlineLevel="0" r="89" s="4" customFormat="1">
      <c r="A89" s="17">
        <v>44228</v>
      </c>
      <c r="B89" s="4" t="s">
        <v>25</v>
      </c>
      <c r="C89" s="4" t="s">
        <v>23</v>
      </c>
      <c r="D89" s="4" t="s">
        <v>24</v>
      </c>
      <c r="E89" s="4" t="s">
        <v>18</v>
      </c>
      <c r="F89" s="4" t="s">
        <v>19</v>
      </c>
      <c r="G89" s="7">
        <v>223526636863.86</v>
      </c>
    </row>
    <row ht="12.8" outlineLevel="0" r="90" s="4" customFormat="1">
      <c r="A90" s="17">
        <v>44228</v>
      </c>
      <c r="B90" s="4" t="s">
        <v>22</v>
      </c>
      <c r="C90" s="4" t="s">
        <v>23</v>
      </c>
      <c r="D90" s="4" t="s">
        <v>24</v>
      </c>
      <c r="E90" s="4" t="s">
        <v>16</v>
      </c>
      <c r="F90" s="4" t="s">
        <v>17</v>
      </c>
      <c r="G90" s="7">
        <v>37560513.46</v>
      </c>
    </row>
    <row ht="12.8" outlineLevel="0" r="91" s="4" customFormat="1">
      <c r="A91" s="17">
        <v>44228</v>
      </c>
      <c r="B91" s="4" t="s">
        <v>22</v>
      </c>
      <c r="C91" s="4" t="s">
        <v>23</v>
      </c>
      <c r="D91" s="4" t="s">
        <v>24</v>
      </c>
      <c r="E91" s="4" t="s">
        <v>18</v>
      </c>
      <c r="F91" s="4" t="s">
        <v>19</v>
      </c>
      <c r="G91" s="7">
        <v>37560513.46</v>
      </c>
    </row>
    <row ht="12.8" outlineLevel="0" r="92" s="4" customFormat="1">
      <c r="A92" s="17">
        <v>44228</v>
      </c>
      <c r="B92" s="4" t="s">
        <v>38</v>
      </c>
      <c r="C92" s="4" t="s">
        <v>39</v>
      </c>
      <c r="D92" s="4" t="s">
        <v>40</v>
      </c>
      <c r="E92" s="4" t="s">
        <v>10</v>
      </c>
      <c r="F92" s="4" t="s">
        <v>11</v>
      </c>
      <c r="G92" s="7">
        <v>105779374</v>
      </c>
    </row>
    <row ht="12.8" outlineLevel="0" r="93" s="4" customFormat="1">
      <c r="A93" s="17">
        <v>44228</v>
      </c>
      <c r="B93" s="4" t="s">
        <v>25</v>
      </c>
      <c r="C93" s="4" t="s">
        <v>23</v>
      </c>
      <c r="D93" s="4" t="s">
        <v>24</v>
      </c>
      <c r="E93" s="4" t="s">
        <v>14</v>
      </c>
      <c r="F93" s="4" t="s">
        <v>15</v>
      </c>
      <c r="G93" s="7">
        <v>343794153813.97</v>
      </c>
    </row>
    <row ht="12.8" outlineLevel="0" r="94" s="4" customFormat="1">
      <c r="A94" s="17">
        <v>44228</v>
      </c>
      <c r="B94" s="4" t="s">
        <v>29</v>
      </c>
      <c r="C94" s="4" t="s">
        <v>30</v>
      </c>
      <c r="D94" s="4" t="s">
        <v>31</v>
      </c>
      <c r="E94" s="4" t="s">
        <v>14</v>
      </c>
      <c r="F94" s="4" t="s">
        <v>15</v>
      </c>
      <c r="G94" s="7">
        <v>63642361521.64</v>
      </c>
    </row>
    <row ht="12.8" outlineLevel="0" r="95" s="4" customFormat="1">
      <c r="A95" s="17">
        <v>44228</v>
      </c>
      <c r="B95" s="4" t="s">
        <v>13</v>
      </c>
      <c r="C95" s="4" t="s">
        <v>8</v>
      </c>
      <c r="D95" s="4" t="s">
        <v>9</v>
      </c>
      <c r="E95" s="4" t="s">
        <v>18</v>
      </c>
      <c r="F95" s="4" t="s">
        <v>19</v>
      </c>
      <c r="G95" s="7">
        <v>37169752542.3452</v>
      </c>
    </row>
    <row ht="12.8" outlineLevel="0" r="96" s="4" customFormat="1">
      <c r="A96" s="17">
        <v>44228</v>
      </c>
      <c r="B96" s="4" t="s">
        <v>12</v>
      </c>
      <c r="C96" s="4" t="s">
        <v>8</v>
      </c>
      <c r="D96" s="4" t="s">
        <v>9</v>
      </c>
      <c r="E96" s="4" t="s">
        <v>18</v>
      </c>
      <c r="F96" s="4" t="s">
        <v>19</v>
      </c>
      <c r="G96" s="7">
        <v>64466366959.26</v>
      </c>
    </row>
    <row ht="12.8" outlineLevel="0" r="97" s="4" customFormat="1">
      <c r="A97" s="17">
        <v>44228</v>
      </c>
      <c r="B97" s="4" t="s">
        <v>35</v>
      </c>
      <c r="C97" s="4" t="s">
        <v>36</v>
      </c>
      <c r="D97" s="4" t="s">
        <v>37</v>
      </c>
      <c r="E97" s="4" t="s">
        <v>10</v>
      </c>
      <c r="F97" s="4" t="s">
        <v>11</v>
      </c>
      <c r="G97" s="7">
        <v>52286495859</v>
      </c>
    </row>
    <row ht="12.8" outlineLevel="0" r="98" s="4" customFormat="1">
      <c r="A98" s="17">
        <v>44228</v>
      </c>
      <c r="B98" s="4" t="s">
        <v>32</v>
      </c>
      <c r="C98" s="4" t="s">
        <v>33</v>
      </c>
      <c r="D98" s="4" t="s">
        <v>34</v>
      </c>
      <c r="E98" s="4" t="s">
        <v>18</v>
      </c>
      <c r="F98" s="4" t="s">
        <v>19</v>
      </c>
      <c r="G98" s="7">
        <v>19489972.37</v>
      </c>
    </row>
    <row ht="12.8" outlineLevel="0" r="99" s="4" customFormat="1">
      <c r="A99" s="17">
        <v>44228</v>
      </c>
      <c r="B99" s="4" t="s">
        <v>12</v>
      </c>
      <c r="C99" s="4" t="s">
        <v>8</v>
      </c>
      <c r="D99" s="4" t="s">
        <v>9</v>
      </c>
      <c r="E99" s="4" t="s">
        <v>16</v>
      </c>
      <c r="F99" s="4" t="s">
        <v>17</v>
      </c>
      <c r="G99" s="7">
        <v>105716782113.7</v>
      </c>
    </row>
    <row ht="12.8" outlineLevel="0" r="100" s="4" customFormat="1">
      <c r="A100" s="17">
        <v>44228</v>
      </c>
      <c r="B100" s="4" t="s">
        <v>13</v>
      </c>
      <c r="C100" s="4" t="s">
        <v>8</v>
      </c>
      <c r="D100" s="4" t="s">
        <v>9</v>
      </c>
      <c r="E100" s="4" t="s">
        <v>14</v>
      </c>
      <c r="F100" s="4" t="s">
        <v>15</v>
      </c>
      <c r="G100" s="7">
        <v>129019880864.137</v>
      </c>
    </row>
    <row ht="12.8" outlineLevel="0" r="101" s="4" customFormat="1">
      <c r="A101" s="17">
        <v>44228</v>
      </c>
      <c r="B101" s="4" t="s">
        <v>13</v>
      </c>
      <c r="C101" s="4" t="s">
        <v>8</v>
      </c>
      <c r="D101" s="4" t="s">
        <v>9</v>
      </c>
      <c r="E101" s="4" t="s">
        <v>10</v>
      </c>
      <c r="F101" s="4" t="s">
        <v>11</v>
      </c>
      <c r="G101" s="7">
        <v>261989147403.68</v>
      </c>
    </row>
    <row ht="12.8" outlineLevel="0" r="102" s="4" customFormat="1">
      <c r="A102" s="17">
        <v>44228</v>
      </c>
      <c r="B102" s="4" t="s">
        <v>12</v>
      </c>
      <c r="C102" s="4" t="s">
        <v>8</v>
      </c>
      <c r="D102" s="4" t="s">
        <v>9</v>
      </c>
      <c r="E102" s="4" t="s">
        <v>14</v>
      </c>
      <c r="F102" s="4" t="s">
        <v>15</v>
      </c>
      <c r="G102" s="7">
        <v>233161768327.07</v>
      </c>
    </row>
    <row ht="12.8" outlineLevel="0" r="103" s="4" customFormat="1">
      <c r="A103" s="17">
        <v>44228</v>
      </c>
      <c r="B103" s="4" t="s">
        <v>13</v>
      </c>
      <c r="C103" s="4" t="s">
        <v>8</v>
      </c>
      <c r="D103" s="4" t="s">
        <v>9</v>
      </c>
      <c r="E103" s="4" t="s">
        <v>16</v>
      </c>
      <c r="F103" s="4" t="s">
        <v>17</v>
      </c>
      <c r="G103" s="7">
        <v>41325952356.412</v>
      </c>
    </row>
    <row ht="12.8" outlineLevel="0" r="104" s="4" customFormat="1">
      <c r="A104" s="17">
        <v>44228</v>
      </c>
      <c r="B104" s="4" t="s">
        <v>26</v>
      </c>
      <c r="C104" s="4" t="s">
        <v>27</v>
      </c>
      <c r="D104" s="4" t="s">
        <v>28</v>
      </c>
      <c r="E104" s="4" t="s">
        <v>16</v>
      </c>
      <c r="F104" s="4" t="s">
        <v>17</v>
      </c>
      <c r="G104" s="7">
        <v>54292914325.889</v>
      </c>
    </row>
    <row ht="12.8" outlineLevel="0" r="105" s="4" customFormat="1">
      <c r="A105" s="17">
        <v>44228</v>
      </c>
      <c r="B105" s="4" t="s">
        <v>26</v>
      </c>
      <c r="C105" s="4" t="s">
        <v>27</v>
      </c>
      <c r="D105" s="4" t="s">
        <v>28</v>
      </c>
      <c r="E105" s="4" t="s">
        <v>18</v>
      </c>
      <c r="F105" s="4" t="s">
        <v>19</v>
      </c>
      <c r="G105" s="7">
        <v>38048957965.359</v>
      </c>
    </row>
    <row ht="12.8" outlineLevel="0" r="106" s="4" customFormat="1">
      <c r="A106" s="17">
        <v>44228</v>
      </c>
      <c r="B106" s="4" t="s">
        <v>29</v>
      </c>
      <c r="C106" s="4" t="s">
        <v>30</v>
      </c>
      <c r="D106" s="4" t="s">
        <v>31</v>
      </c>
      <c r="E106" s="4" t="s">
        <v>16</v>
      </c>
      <c r="F106" s="4" t="s">
        <v>17</v>
      </c>
      <c r="G106" s="7">
        <v>33087415883.24</v>
      </c>
    </row>
    <row ht="12.8" outlineLevel="0" r="107" s="4" customFormat="1">
      <c r="A107" s="17">
        <v>44228</v>
      </c>
      <c r="B107" s="4" t="s">
        <v>29</v>
      </c>
      <c r="C107" s="4" t="s">
        <v>30</v>
      </c>
      <c r="D107" s="4" t="s">
        <v>31</v>
      </c>
      <c r="E107" s="4" t="s">
        <v>18</v>
      </c>
      <c r="F107" s="4" t="s">
        <v>19</v>
      </c>
      <c r="G107" s="7">
        <v>33087415883.24</v>
      </c>
    </row>
    <row ht="12.8" outlineLevel="0" r="108" s="4" customFormat="1">
      <c r="A108" s="17">
        <v>44228</v>
      </c>
      <c r="B108" s="4" t="s">
        <v>29</v>
      </c>
      <c r="C108" s="4" t="s">
        <v>30</v>
      </c>
      <c r="D108" s="4" t="s">
        <v>31</v>
      </c>
      <c r="E108" s="4" t="s">
        <v>10</v>
      </c>
      <c r="F108" s="4" t="s">
        <v>11</v>
      </c>
      <c r="G108" s="7">
        <v>362618192153</v>
      </c>
    </row>
    <row ht="12.8" outlineLevel="0" r="109" s="4" customFormat="1">
      <c r="A109" s="17">
        <v>44228</v>
      </c>
      <c r="B109" s="4" t="s">
        <v>32</v>
      </c>
      <c r="C109" s="4" t="s">
        <v>33</v>
      </c>
      <c r="D109" s="4" t="s">
        <v>34</v>
      </c>
      <c r="E109" s="4" t="s">
        <v>10</v>
      </c>
      <c r="F109" s="4" t="s">
        <v>11</v>
      </c>
      <c r="G109" s="7">
        <v>11794926006</v>
      </c>
    </row>
    <row ht="12.8" outlineLevel="0" r="110" s="4" customFormat="1">
      <c r="A110" s="17">
        <v>44228</v>
      </c>
      <c r="B110" s="4" t="s">
        <v>35</v>
      </c>
      <c r="C110" s="4" t="s">
        <v>36</v>
      </c>
      <c r="D110" s="4" t="s">
        <v>37</v>
      </c>
      <c r="E110" s="4" t="s">
        <v>14</v>
      </c>
      <c r="F110" s="4" t="s">
        <v>15</v>
      </c>
      <c r="G110" s="7">
        <v>33123069811.35</v>
      </c>
    </row>
    <row ht="12.8" outlineLevel="0" r="111" s="4" customFormat="1">
      <c r="A111" s="17">
        <v>44228</v>
      </c>
      <c r="B111" s="4" t="s">
        <v>32</v>
      </c>
      <c r="C111" s="4" t="s">
        <v>33</v>
      </c>
      <c r="D111" s="4" t="s">
        <v>34</v>
      </c>
      <c r="E111" s="4" t="s">
        <v>16</v>
      </c>
      <c r="F111" s="4" t="s">
        <v>17</v>
      </c>
      <c r="G111" s="7">
        <v>20888152.16</v>
      </c>
    </row>
    <row ht="12.8" outlineLevel="0" r="112" s="4" customFormat="1">
      <c r="A112" s="17">
        <v>44228</v>
      </c>
      <c r="B112" s="4" t="s">
        <v>32</v>
      </c>
      <c r="C112" s="4" t="s">
        <v>33</v>
      </c>
      <c r="D112" s="4" t="s">
        <v>34</v>
      </c>
      <c r="E112" s="4" t="s">
        <v>14</v>
      </c>
      <c r="F112" s="4" t="s">
        <v>15</v>
      </c>
      <c r="G112" s="7">
        <v>574524840.4921</v>
      </c>
    </row>
    <row ht="12.8" outlineLevel="0" r="113" s="4" customFormat="1">
      <c r="A113" s="17">
        <v>44197</v>
      </c>
      <c r="B113" s="4" t="s">
        <v>7</v>
      </c>
      <c r="C113" s="4" t="s">
        <v>8</v>
      </c>
      <c r="D113" s="4" t="s">
        <v>9</v>
      </c>
      <c r="E113" s="4" t="s">
        <v>14</v>
      </c>
      <c r="F113" s="4" t="s">
        <v>15</v>
      </c>
      <c r="G113" s="7">
        <v>241472425425.05</v>
      </c>
    </row>
    <row ht="12.8" outlineLevel="0" r="114" s="4" customFormat="1">
      <c r="A114" s="17">
        <v>44197</v>
      </c>
      <c r="B114" s="4" t="s">
        <v>7</v>
      </c>
      <c r="C114" s="4" t="s">
        <v>8</v>
      </c>
      <c r="D114" s="4" t="s">
        <v>9</v>
      </c>
      <c r="E114" s="4" t="s">
        <v>10</v>
      </c>
      <c r="F114" s="4" t="s">
        <v>11</v>
      </c>
      <c r="G114" s="7">
        <v>357909240602.46</v>
      </c>
    </row>
    <row ht="12.8" outlineLevel="0" r="115" s="4" customFormat="1">
      <c r="A115" s="17">
        <v>44197</v>
      </c>
      <c r="B115" s="4" t="s">
        <v>25</v>
      </c>
      <c r="C115" s="4" t="s">
        <v>23</v>
      </c>
      <c r="D115" s="4" t="s">
        <v>24</v>
      </c>
      <c r="E115" s="4" t="s">
        <v>14</v>
      </c>
      <c r="F115" s="4" t="s">
        <v>15</v>
      </c>
      <c r="G115" s="7">
        <v>258580479934.11</v>
      </c>
    </row>
    <row ht="12.8" outlineLevel="0" r="116" s="4" customFormat="1">
      <c r="A116" s="17">
        <v>44197</v>
      </c>
      <c r="B116" s="4" t="s">
        <v>35</v>
      </c>
      <c r="C116" s="4" t="s">
        <v>36</v>
      </c>
      <c r="D116" s="4" t="s">
        <v>37</v>
      </c>
      <c r="E116" s="4" t="s">
        <v>16</v>
      </c>
      <c r="F116" s="4" t="s">
        <v>17</v>
      </c>
      <c r="G116" s="7">
        <v>2032869905.85</v>
      </c>
    </row>
    <row ht="12.8" outlineLevel="0" r="117" s="4" customFormat="1">
      <c r="A117" s="17">
        <v>44197</v>
      </c>
      <c r="B117" s="4" t="s">
        <v>26</v>
      </c>
      <c r="C117" s="4" t="s">
        <v>27</v>
      </c>
      <c r="D117" s="4" t="s">
        <v>28</v>
      </c>
      <c r="E117" s="4" t="s">
        <v>10</v>
      </c>
      <c r="F117" s="4" t="s">
        <v>11</v>
      </c>
      <c r="G117" s="7">
        <v>234112143962</v>
      </c>
    </row>
    <row ht="12.8" outlineLevel="0" r="118" s="4" customFormat="1">
      <c r="A118" s="17">
        <v>44197</v>
      </c>
      <c r="B118" s="4" t="s">
        <v>7</v>
      </c>
      <c r="C118" s="4" t="s">
        <v>8</v>
      </c>
      <c r="D118" s="4" t="s">
        <v>9</v>
      </c>
      <c r="E118" s="4" t="s">
        <v>16</v>
      </c>
      <c r="F118" s="4" t="s">
        <v>17</v>
      </c>
      <c r="G118" s="7">
        <v>17272401376.86</v>
      </c>
    </row>
    <row ht="12.8" outlineLevel="0" r="119" s="4" customFormat="1">
      <c r="A119" s="17">
        <v>44197</v>
      </c>
      <c r="B119" s="4" t="s">
        <v>26</v>
      </c>
      <c r="C119" s="4" t="s">
        <v>27</v>
      </c>
      <c r="D119" s="4" t="s">
        <v>28</v>
      </c>
      <c r="E119" s="4" t="s">
        <v>14</v>
      </c>
      <c r="F119" s="4" t="s">
        <v>15</v>
      </c>
      <c r="G119" s="7">
        <v>147129499108.964</v>
      </c>
    </row>
    <row ht="12.8" outlineLevel="0" r="120" s="4" customFormat="1">
      <c r="A120" s="17">
        <v>44197</v>
      </c>
      <c r="B120" s="4" t="s">
        <v>12</v>
      </c>
      <c r="C120" s="4" t="s">
        <v>8</v>
      </c>
      <c r="D120" s="4" t="s">
        <v>9</v>
      </c>
      <c r="E120" s="4" t="s">
        <v>10</v>
      </c>
      <c r="F120" s="4" t="s">
        <v>11</v>
      </c>
      <c r="G120" s="7">
        <v>430692827249</v>
      </c>
    </row>
    <row ht="12.8" outlineLevel="0" r="121" s="4" customFormat="1">
      <c r="A121" s="17">
        <v>44197</v>
      </c>
      <c r="B121" s="4" t="s">
        <v>7</v>
      </c>
      <c r="C121" s="4" t="s">
        <v>8</v>
      </c>
      <c r="D121" s="4" t="s">
        <v>9</v>
      </c>
      <c r="E121" s="4" t="s">
        <v>18</v>
      </c>
      <c r="F121" s="4" t="s">
        <v>19</v>
      </c>
      <c r="G121" s="7">
        <v>17270363620.16</v>
      </c>
    </row>
    <row ht="12.8" outlineLevel="0" r="122" s="4" customFormat="1">
      <c r="A122" s="17">
        <v>44197</v>
      </c>
      <c r="B122" s="4" t="s">
        <v>22</v>
      </c>
      <c r="C122" s="4" t="s">
        <v>23</v>
      </c>
      <c r="D122" s="4" t="s">
        <v>24</v>
      </c>
      <c r="E122" s="4" t="s">
        <v>14</v>
      </c>
      <c r="F122" s="4" t="s">
        <v>15</v>
      </c>
      <c r="G122" s="7">
        <v>139784937.11</v>
      </c>
    </row>
    <row ht="12.8" outlineLevel="0" r="123" s="4" customFormat="1">
      <c r="A123" s="17">
        <v>44197</v>
      </c>
      <c r="B123" s="4" t="s">
        <v>35</v>
      </c>
      <c r="C123" s="4" t="s">
        <v>36</v>
      </c>
      <c r="D123" s="4" t="s">
        <v>37</v>
      </c>
      <c r="E123" s="4" t="s">
        <v>18</v>
      </c>
      <c r="F123" s="4" t="s">
        <v>19</v>
      </c>
      <c r="G123" s="7">
        <v>2032310641.14</v>
      </c>
    </row>
    <row ht="12.8" outlineLevel="0" r="124" s="4" customFormat="1">
      <c r="A124" s="17">
        <v>44197</v>
      </c>
      <c r="B124" s="4" t="s">
        <v>22</v>
      </c>
      <c r="C124" s="4" t="s">
        <v>23</v>
      </c>
      <c r="D124" s="4" t="s">
        <v>24</v>
      </c>
      <c r="E124" s="4" t="s">
        <v>16</v>
      </c>
      <c r="F124" s="4" t="s">
        <v>17</v>
      </c>
      <c r="G124" s="7">
        <v>23921598.98</v>
      </c>
    </row>
    <row ht="12.8" outlineLevel="0" r="125" s="4" customFormat="1">
      <c r="A125" s="17">
        <v>44197</v>
      </c>
      <c r="B125" s="4" t="s">
        <v>22</v>
      </c>
      <c r="C125" s="4" t="s">
        <v>23</v>
      </c>
      <c r="D125" s="4" t="s">
        <v>24</v>
      </c>
      <c r="E125" s="4" t="s">
        <v>18</v>
      </c>
      <c r="F125" s="4" t="s">
        <v>19</v>
      </c>
      <c r="G125" s="7">
        <v>23921598.98</v>
      </c>
    </row>
    <row ht="12.8" outlineLevel="0" r="126" s="4" customFormat="1">
      <c r="A126" s="17">
        <v>44197</v>
      </c>
      <c r="B126" s="4" t="s">
        <v>22</v>
      </c>
      <c r="C126" s="4" t="s">
        <v>23</v>
      </c>
      <c r="D126" s="4" t="s">
        <v>24</v>
      </c>
      <c r="E126" s="4" t="s">
        <v>10</v>
      </c>
      <c r="F126" s="4" t="s">
        <v>11</v>
      </c>
      <c r="G126" s="7">
        <v>301769373649</v>
      </c>
    </row>
    <row ht="12.8" outlineLevel="0" r="127" s="4" customFormat="1">
      <c r="A127" s="17">
        <v>44197</v>
      </c>
      <c r="B127" s="4" t="s">
        <v>25</v>
      </c>
      <c r="C127" s="4" t="s">
        <v>23</v>
      </c>
      <c r="D127" s="4" t="s">
        <v>24</v>
      </c>
      <c r="E127" s="4" t="s">
        <v>16</v>
      </c>
      <c r="F127" s="4" t="s">
        <v>17</v>
      </c>
      <c r="G127" s="7">
        <v>220811420174.94</v>
      </c>
    </row>
    <row ht="12.8" outlineLevel="0" r="128" s="4" customFormat="1">
      <c r="A128" s="17">
        <v>44197</v>
      </c>
      <c r="B128" s="4" t="s">
        <v>25</v>
      </c>
      <c r="C128" s="4" t="s">
        <v>23</v>
      </c>
      <c r="D128" s="4" t="s">
        <v>24</v>
      </c>
      <c r="E128" s="4" t="s">
        <v>10</v>
      </c>
      <c r="F128" s="4" t="s">
        <v>11</v>
      </c>
      <c r="G128" s="7">
        <v>1572015436493</v>
      </c>
    </row>
    <row ht="12.8" outlineLevel="0" r="129" s="4" customFormat="1">
      <c r="A129" s="17">
        <v>44197</v>
      </c>
      <c r="B129" s="4" t="s">
        <v>25</v>
      </c>
      <c r="C129" s="4" t="s">
        <v>23</v>
      </c>
      <c r="D129" s="4" t="s">
        <v>24</v>
      </c>
      <c r="E129" s="4" t="s">
        <v>18</v>
      </c>
      <c r="F129" s="4" t="s">
        <v>19</v>
      </c>
      <c r="G129" s="7">
        <v>220811420174.94</v>
      </c>
    </row>
    <row ht="12.8" outlineLevel="0" r="130" s="4" customFormat="1">
      <c r="A130" s="17">
        <v>44197</v>
      </c>
      <c r="B130" s="4" t="s">
        <v>38</v>
      </c>
      <c r="C130" s="4" t="s">
        <v>39</v>
      </c>
      <c r="D130" s="4" t="s">
        <v>40</v>
      </c>
      <c r="E130" s="4" t="s">
        <v>10</v>
      </c>
      <c r="F130" s="4" t="s">
        <v>11</v>
      </c>
      <c r="G130" s="7">
        <v>105779374</v>
      </c>
    </row>
    <row ht="12.8" outlineLevel="0" r="131" s="4" customFormat="1">
      <c r="A131" s="17">
        <v>44197</v>
      </c>
      <c r="B131" s="4" t="s">
        <v>29</v>
      </c>
      <c r="C131" s="4" t="s">
        <v>30</v>
      </c>
      <c r="D131" s="4" t="s">
        <v>31</v>
      </c>
      <c r="E131" s="4" t="s">
        <v>16</v>
      </c>
      <c r="F131" s="4" t="s">
        <v>17</v>
      </c>
      <c r="G131" s="7">
        <v>7619600612.89</v>
      </c>
    </row>
    <row ht="12.8" outlineLevel="0" r="132" s="4" customFormat="1">
      <c r="A132" s="17">
        <v>44197</v>
      </c>
      <c r="B132" s="4" t="s">
        <v>32</v>
      </c>
      <c r="C132" s="4" t="s">
        <v>33</v>
      </c>
      <c r="D132" s="4" t="s">
        <v>34</v>
      </c>
      <c r="E132" s="4" t="s">
        <v>16</v>
      </c>
      <c r="F132" s="4" t="s">
        <v>17</v>
      </c>
      <c r="G132" s="7">
        <v>18097384.16</v>
      </c>
    </row>
    <row ht="12.8" outlineLevel="0" r="133" s="4" customFormat="1">
      <c r="A133" s="17">
        <v>44197</v>
      </c>
      <c r="B133" s="4" t="s">
        <v>32</v>
      </c>
      <c r="C133" s="4" t="s">
        <v>33</v>
      </c>
      <c r="D133" s="4" t="s">
        <v>34</v>
      </c>
      <c r="E133" s="4" t="s">
        <v>18</v>
      </c>
      <c r="F133" s="4" t="s">
        <v>19</v>
      </c>
      <c r="G133" s="7">
        <v>68534.5</v>
      </c>
    </row>
    <row ht="12.8" outlineLevel="0" r="134" s="4" customFormat="1">
      <c r="A134" s="17">
        <v>44197</v>
      </c>
      <c r="B134" s="4" t="s">
        <v>35</v>
      </c>
      <c r="C134" s="4" t="s">
        <v>36</v>
      </c>
      <c r="D134" s="4" t="s">
        <v>37</v>
      </c>
      <c r="E134" s="4" t="s">
        <v>10</v>
      </c>
      <c r="F134" s="4" t="s">
        <v>11</v>
      </c>
      <c r="G134" s="7">
        <v>52286495859</v>
      </c>
    </row>
    <row ht="12.8" outlineLevel="0" r="135" s="4" customFormat="1">
      <c r="A135" s="17">
        <v>44197</v>
      </c>
      <c r="B135" s="4" t="s">
        <v>35</v>
      </c>
      <c r="C135" s="4" t="s">
        <v>36</v>
      </c>
      <c r="D135" s="4" t="s">
        <v>37</v>
      </c>
      <c r="E135" s="4" t="s">
        <v>14</v>
      </c>
      <c r="F135" s="4" t="s">
        <v>15</v>
      </c>
      <c r="G135" s="7">
        <v>41106661961.51</v>
      </c>
    </row>
    <row ht="12.8" outlineLevel="0" r="136" s="4" customFormat="1">
      <c r="A136" s="17">
        <v>44197</v>
      </c>
      <c r="B136" s="4" t="s">
        <v>13</v>
      </c>
      <c r="C136" s="4" t="s">
        <v>8</v>
      </c>
      <c r="D136" s="4" t="s">
        <v>9</v>
      </c>
      <c r="E136" s="4" t="s">
        <v>10</v>
      </c>
      <c r="F136" s="4" t="s">
        <v>11</v>
      </c>
      <c r="G136" s="7">
        <v>258097211662.89</v>
      </c>
    </row>
    <row ht="12.8" outlineLevel="0" r="137" s="4" customFormat="1">
      <c r="A137" s="17">
        <v>44197</v>
      </c>
      <c r="B137" s="4" t="s">
        <v>13</v>
      </c>
      <c r="C137" s="4" t="s">
        <v>8</v>
      </c>
      <c r="D137" s="4" t="s">
        <v>9</v>
      </c>
      <c r="E137" s="4" t="s">
        <v>14</v>
      </c>
      <c r="F137" s="4" t="s">
        <v>15</v>
      </c>
      <c r="G137" s="7">
        <v>102962673254.5</v>
      </c>
    </row>
    <row ht="12.8" outlineLevel="0" r="138" s="4" customFormat="1">
      <c r="A138" s="17">
        <v>44197</v>
      </c>
      <c r="B138" s="4" t="s">
        <v>12</v>
      </c>
      <c r="C138" s="4" t="s">
        <v>8</v>
      </c>
      <c r="D138" s="4" t="s">
        <v>9</v>
      </c>
      <c r="E138" s="4" t="s">
        <v>14</v>
      </c>
      <c r="F138" s="4" t="s">
        <v>15</v>
      </c>
      <c r="G138" s="7">
        <v>230405093036.83</v>
      </c>
    </row>
    <row ht="12.8" outlineLevel="0" r="139" s="4" customFormat="1">
      <c r="A139" s="17">
        <v>44197</v>
      </c>
      <c r="B139" s="4" t="s">
        <v>12</v>
      </c>
      <c r="C139" s="4" t="s">
        <v>8</v>
      </c>
      <c r="D139" s="4" t="s">
        <v>9</v>
      </c>
      <c r="E139" s="4" t="s">
        <v>18</v>
      </c>
      <c r="F139" s="4" t="s">
        <v>19</v>
      </c>
      <c r="G139" s="7">
        <v>11232946928.44</v>
      </c>
    </row>
    <row ht="12.8" outlineLevel="0" r="140" s="4" customFormat="1">
      <c r="A140" s="17">
        <v>44197</v>
      </c>
      <c r="B140" s="4" t="s">
        <v>12</v>
      </c>
      <c r="C140" s="4" t="s">
        <v>8</v>
      </c>
      <c r="D140" s="4" t="s">
        <v>9</v>
      </c>
      <c r="E140" s="4" t="s">
        <v>16</v>
      </c>
      <c r="F140" s="4" t="s">
        <v>17</v>
      </c>
      <c r="G140" s="7">
        <v>52326856110.13</v>
      </c>
    </row>
    <row ht="12.8" outlineLevel="0" r="141" s="4" customFormat="1">
      <c r="A141" s="17">
        <v>44197</v>
      </c>
      <c r="B141" s="4" t="s">
        <v>26</v>
      </c>
      <c r="C141" s="4" t="s">
        <v>27</v>
      </c>
      <c r="D141" s="4" t="s">
        <v>28</v>
      </c>
      <c r="E141" s="4" t="s">
        <v>16</v>
      </c>
      <c r="F141" s="4" t="s">
        <v>17</v>
      </c>
      <c r="G141" s="7">
        <v>28124828146.1357</v>
      </c>
    </row>
    <row ht="12.8" outlineLevel="0" r="142" s="4" customFormat="1">
      <c r="A142" s="17">
        <v>44197</v>
      </c>
      <c r="B142" s="4" t="s">
        <v>26</v>
      </c>
      <c r="C142" s="4" t="s">
        <v>27</v>
      </c>
      <c r="D142" s="4" t="s">
        <v>28</v>
      </c>
      <c r="E142" s="4" t="s">
        <v>18</v>
      </c>
      <c r="F142" s="4" t="s">
        <v>19</v>
      </c>
      <c r="G142" s="7">
        <v>11287598468.1926</v>
      </c>
    </row>
    <row ht="12.8" outlineLevel="0" r="143" s="4" customFormat="1">
      <c r="A143" s="17">
        <v>44197</v>
      </c>
      <c r="B143" s="4" t="s">
        <v>29</v>
      </c>
      <c r="C143" s="4" t="s">
        <v>30</v>
      </c>
      <c r="D143" s="4" t="s">
        <v>31</v>
      </c>
      <c r="E143" s="4" t="s">
        <v>14</v>
      </c>
      <c r="F143" s="4" t="s">
        <v>15</v>
      </c>
      <c r="G143" s="7">
        <v>49683135468.22</v>
      </c>
    </row>
    <row ht="12.8" outlineLevel="0" r="144" s="4" customFormat="1">
      <c r="A144" s="17">
        <v>44197</v>
      </c>
      <c r="B144" s="4" t="s">
        <v>29</v>
      </c>
      <c r="C144" s="4" t="s">
        <v>30</v>
      </c>
      <c r="D144" s="4" t="s">
        <v>31</v>
      </c>
      <c r="E144" s="4" t="s">
        <v>10</v>
      </c>
      <c r="F144" s="4" t="s">
        <v>11</v>
      </c>
      <c r="G144" s="7">
        <v>362618192153</v>
      </c>
    </row>
    <row ht="12.8" outlineLevel="0" r="145" s="4" customFormat="1">
      <c r="A145" s="17">
        <v>44197</v>
      </c>
      <c r="B145" s="4" t="s">
        <v>29</v>
      </c>
      <c r="C145" s="4" t="s">
        <v>30</v>
      </c>
      <c r="D145" s="4" t="s">
        <v>31</v>
      </c>
      <c r="E145" s="4" t="s">
        <v>18</v>
      </c>
      <c r="F145" s="4" t="s">
        <v>19</v>
      </c>
      <c r="G145" s="7">
        <v>7619600612.89</v>
      </c>
    </row>
    <row ht="12.8" outlineLevel="0" r="146" s="4" customFormat="1">
      <c r="A146" s="17">
        <v>44197</v>
      </c>
      <c r="B146" s="4" t="s">
        <v>13</v>
      </c>
      <c r="C146" s="4" t="s">
        <v>8</v>
      </c>
      <c r="D146" s="4" t="s">
        <v>9</v>
      </c>
      <c r="E146" s="4" t="s">
        <v>16</v>
      </c>
      <c r="F146" s="4" t="s">
        <v>17</v>
      </c>
      <c r="G146" s="7">
        <v>16705316228.6798</v>
      </c>
    </row>
    <row ht="12.8" outlineLevel="0" r="147" s="4" customFormat="1">
      <c r="A147" s="17">
        <v>44197</v>
      </c>
      <c r="B147" s="4" t="s">
        <v>13</v>
      </c>
      <c r="C147" s="4" t="s">
        <v>8</v>
      </c>
      <c r="D147" s="4" t="s">
        <v>9</v>
      </c>
      <c r="E147" s="4" t="s">
        <v>18</v>
      </c>
      <c r="F147" s="4" t="s">
        <v>19</v>
      </c>
      <c r="G147" s="7">
        <v>12999160439.391</v>
      </c>
    </row>
    <row ht="12.8" outlineLevel="0" r="148" s="4" customFormat="1">
      <c r="A148" s="17">
        <v>44197</v>
      </c>
      <c r="B148" s="4" t="s">
        <v>32</v>
      </c>
      <c r="C148" s="4" t="s">
        <v>33</v>
      </c>
      <c r="D148" s="4" t="s">
        <v>34</v>
      </c>
      <c r="E148" s="4" t="s">
        <v>10</v>
      </c>
      <c r="F148" s="4" t="s">
        <v>11</v>
      </c>
      <c r="G148" s="7">
        <v>11755594466</v>
      </c>
    </row>
    <row ht="12.8" outlineLevel="0" r="149" s="4" customFormat="1">
      <c r="A149" s="17">
        <v>44197</v>
      </c>
      <c r="B149" s="4" t="s">
        <v>32</v>
      </c>
      <c r="C149" s="4" t="s">
        <v>33</v>
      </c>
      <c r="D149" s="4" t="s">
        <v>34</v>
      </c>
      <c r="E149" s="4" t="s">
        <v>14</v>
      </c>
      <c r="F149" s="4" t="s">
        <v>15</v>
      </c>
      <c r="G149" s="7">
        <v>237013027.2405</v>
      </c>
    </row>
    <row ht="12.8" outlineLevel="0" r="150" s="4" customFormat="1">
      <c r="A150" s="17">
        <v>44166</v>
      </c>
      <c r="B150" s="4" t="s">
        <v>29</v>
      </c>
      <c r="C150" s="4" t="s">
        <v>30</v>
      </c>
      <c r="D150" s="4" t="s">
        <v>31</v>
      </c>
      <c r="E150" s="4" t="s">
        <v>18</v>
      </c>
      <c r="F150" s="4" t="s">
        <v>19</v>
      </c>
      <c r="G150" s="7">
        <v>346683852485.35</v>
      </c>
    </row>
    <row ht="12.8" outlineLevel="0" r="151" s="4" customFormat="1">
      <c r="A151" s="17">
        <v>44166</v>
      </c>
      <c r="B151" s="4" t="s">
        <v>7</v>
      </c>
      <c r="C151" s="4" t="s">
        <v>8</v>
      </c>
      <c r="D151" s="4" t="s">
        <v>9</v>
      </c>
      <c r="E151" s="4" t="s">
        <v>10</v>
      </c>
      <c r="F151" s="4" t="s">
        <v>11</v>
      </c>
      <c r="G151" s="7">
        <v>505009978112.54</v>
      </c>
    </row>
    <row ht="12.8" outlineLevel="0" r="152" s="4" customFormat="1">
      <c r="A152" s="17">
        <v>44166</v>
      </c>
      <c r="B152" s="4" t="s">
        <v>26</v>
      </c>
      <c r="C152" s="4" t="s">
        <v>27</v>
      </c>
      <c r="D152" s="4" t="s">
        <v>28</v>
      </c>
      <c r="E152" s="4" t="s">
        <v>20</v>
      </c>
      <c r="F152" s="4" t="s">
        <v>21</v>
      </c>
      <c r="G152" s="7">
        <v>1052577455.17</v>
      </c>
    </row>
    <row ht="12.8" outlineLevel="0" r="153" s="4" customFormat="1">
      <c r="A153" s="17">
        <v>44166</v>
      </c>
      <c r="B153" s="4" t="s">
        <v>29</v>
      </c>
      <c r="C153" s="4" t="s">
        <v>30</v>
      </c>
      <c r="D153" s="4" t="s">
        <v>31</v>
      </c>
      <c r="E153" s="4" t="s">
        <v>20</v>
      </c>
      <c r="F153" s="4" t="s">
        <v>21</v>
      </c>
      <c r="G153" s="7">
        <v>160649324.38</v>
      </c>
    </row>
    <row ht="12.8" outlineLevel="0" r="154" s="4" customFormat="1">
      <c r="A154" s="17">
        <v>44166</v>
      </c>
      <c r="B154" s="4" t="s">
        <v>29</v>
      </c>
      <c r="C154" s="4" t="s">
        <v>30</v>
      </c>
      <c r="D154" s="4" t="s">
        <v>31</v>
      </c>
      <c r="E154" s="4" t="s">
        <v>16</v>
      </c>
      <c r="F154" s="4" t="s">
        <v>17</v>
      </c>
      <c r="G154" s="7">
        <v>346683921120.53</v>
      </c>
    </row>
    <row ht="12.8" outlineLevel="0" r="155" s="4" customFormat="1">
      <c r="A155" s="17">
        <v>44166</v>
      </c>
      <c r="B155" s="4" t="s">
        <v>26</v>
      </c>
      <c r="C155" s="4" t="s">
        <v>27</v>
      </c>
      <c r="D155" s="4" t="s">
        <v>28</v>
      </c>
      <c r="E155" s="4" t="s">
        <v>10</v>
      </c>
      <c r="F155" s="4" t="s">
        <v>11</v>
      </c>
      <c r="G155" s="7">
        <v>349427239055</v>
      </c>
    </row>
    <row ht="12.8" outlineLevel="0" r="156" s="4" customFormat="1">
      <c r="A156" s="17">
        <v>44166</v>
      </c>
      <c r="B156" s="4" t="s">
        <v>32</v>
      </c>
      <c r="C156" s="4" t="s">
        <v>33</v>
      </c>
      <c r="D156" s="4" t="s">
        <v>34</v>
      </c>
      <c r="E156" s="4" t="s">
        <v>14</v>
      </c>
      <c r="F156" s="4" t="s">
        <v>15</v>
      </c>
      <c r="G156" s="7">
        <v>47216966466.7611</v>
      </c>
    </row>
    <row ht="12.8" outlineLevel="0" r="157" s="4" customFormat="1">
      <c r="A157" s="17">
        <v>44166</v>
      </c>
      <c r="B157" s="4" t="s">
        <v>32</v>
      </c>
      <c r="C157" s="4" t="s">
        <v>33</v>
      </c>
      <c r="D157" s="4" t="s">
        <v>34</v>
      </c>
      <c r="E157" s="4" t="s">
        <v>10</v>
      </c>
      <c r="F157" s="4" t="s">
        <v>11</v>
      </c>
      <c r="G157" s="7">
        <v>48686671056.99</v>
      </c>
    </row>
    <row ht="12.8" outlineLevel="0" r="158" s="4" customFormat="1">
      <c r="A158" s="17">
        <v>44166</v>
      </c>
      <c r="B158" s="4" t="s">
        <v>32</v>
      </c>
      <c r="C158" s="4" t="s">
        <v>33</v>
      </c>
      <c r="D158" s="4" t="s">
        <v>34</v>
      </c>
      <c r="E158" s="4" t="s">
        <v>16</v>
      </c>
      <c r="F158" s="4" t="s">
        <v>17</v>
      </c>
      <c r="G158" s="7">
        <v>21368860407.9515</v>
      </c>
    </row>
    <row ht="12.8" outlineLevel="0" r="159" s="4" customFormat="1">
      <c r="A159" s="17">
        <v>44166</v>
      </c>
      <c r="B159" s="4" t="s">
        <v>26</v>
      </c>
      <c r="C159" s="4" t="s">
        <v>27</v>
      </c>
      <c r="D159" s="4" t="s">
        <v>28</v>
      </c>
      <c r="E159" s="4" t="s">
        <v>16</v>
      </c>
      <c r="F159" s="4" t="s">
        <v>17</v>
      </c>
      <c r="G159" s="7">
        <v>342414371719.489</v>
      </c>
    </row>
    <row ht="12.8" outlineLevel="0" r="160" s="4" customFormat="1">
      <c r="A160" s="17">
        <v>44166</v>
      </c>
      <c r="B160" s="4" t="s">
        <v>26</v>
      </c>
      <c r="C160" s="4" t="s">
        <v>27</v>
      </c>
      <c r="D160" s="4" t="s">
        <v>28</v>
      </c>
      <c r="E160" s="4" t="s">
        <v>14</v>
      </c>
      <c r="F160" s="4" t="s">
        <v>15</v>
      </c>
      <c r="G160" s="7">
        <v>343466949174.659</v>
      </c>
    </row>
    <row ht="12.8" outlineLevel="0" r="161" s="4" customFormat="1">
      <c r="A161" s="17">
        <v>44166</v>
      </c>
      <c r="B161" s="4" t="s">
        <v>29</v>
      </c>
      <c r="C161" s="4" t="s">
        <v>30</v>
      </c>
      <c r="D161" s="4" t="s">
        <v>31</v>
      </c>
      <c r="E161" s="4" t="s">
        <v>14</v>
      </c>
      <c r="F161" s="4" t="s">
        <v>15</v>
      </c>
      <c r="G161" s="7">
        <v>346844570444.91</v>
      </c>
    </row>
    <row ht="12.8" outlineLevel="0" r="162" s="4" customFormat="1">
      <c r="A162" s="17">
        <v>44166</v>
      </c>
      <c r="B162" s="4" t="s">
        <v>12</v>
      </c>
      <c r="C162" s="4" t="s">
        <v>8</v>
      </c>
      <c r="D162" s="4" t="s">
        <v>9</v>
      </c>
      <c r="E162" s="4" t="s">
        <v>16</v>
      </c>
      <c r="F162" s="4" t="s">
        <v>17</v>
      </c>
      <c r="G162" s="7">
        <v>666977055493.87</v>
      </c>
    </row>
    <row ht="12.8" outlineLevel="0" r="163" s="4" customFormat="1">
      <c r="A163" s="17">
        <v>44166</v>
      </c>
      <c r="B163" s="4" t="s">
        <v>38</v>
      </c>
      <c r="C163" s="4" t="s">
        <v>39</v>
      </c>
      <c r="D163" s="4" t="s">
        <v>40</v>
      </c>
      <c r="E163" s="4" t="s">
        <v>10</v>
      </c>
      <c r="F163" s="4" t="s">
        <v>11</v>
      </c>
      <c r="G163" s="7">
        <v>40193377547</v>
      </c>
    </row>
    <row ht="12.8" outlineLevel="0" r="164" s="4" customFormat="1">
      <c r="A164" s="17">
        <v>44166</v>
      </c>
      <c r="B164" s="4" t="s">
        <v>7</v>
      </c>
      <c r="C164" s="4" t="s">
        <v>8</v>
      </c>
      <c r="D164" s="4" t="s">
        <v>9</v>
      </c>
      <c r="E164" s="4" t="s">
        <v>14</v>
      </c>
      <c r="F164" s="4" t="s">
        <v>15</v>
      </c>
      <c r="G164" s="7">
        <v>502632568136.3</v>
      </c>
    </row>
    <row ht="12.8" outlineLevel="0" r="165" s="4" customFormat="1">
      <c r="A165" s="17">
        <v>44166</v>
      </c>
      <c r="B165" s="4" t="s">
        <v>7</v>
      </c>
      <c r="C165" s="4" t="s">
        <v>8</v>
      </c>
      <c r="D165" s="4" t="s">
        <v>9</v>
      </c>
      <c r="E165" s="4" t="s">
        <v>20</v>
      </c>
      <c r="F165" s="4" t="s">
        <v>21</v>
      </c>
      <c r="G165" s="7">
        <v>40948259865.08</v>
      </c>
    </row>
    <row ht="12.8" outlineLevel="0" r="166" s="4" customFormat="1">
      <c r="A166" s="17">
        <v>44166</v>
      </c>
      <c r="B166" s="4" t="s">
        <v>7</v>
      </c>
      <c r="C166" s="4" t="s">
        <v>8</v>
      </c>
      <c r="D166" s="4" t="s">
        <v>9</v>
      </c>
      <c r="E166" s="4" t="s">
        <v>16</v>
      </c>
      <c r="F166" s="4" t="s">
        <v>17</v>
      </c>
      <c r="G166" s="7">
        <v>461684308271.22</v>
      </c>
    </row>
    <row ht="12.8" outlineLevel="0" r="167" s="4" customFormat="1">
      <c r="A167" s="17">
        <v>44166</v>
      </c>
      <c r="B167" s="4" t="s">
        <v>25</v>
      </c>
      <c r="C167" s="4" t="s">
        <v>23</v>
      </c>
      <c r="D167" s="4" t="s">
        <v>24</v>
      </c>
      <c r="E167" s="4" t="s">
        <v>18</v>
      </c>
      <c r="F167" s="4" t="s">
        <v>19</v>
      </c>
      <c r="G167" s="7">
        <v>723323376763.82</v>
      </c>
    </row>
    <row ht="12.8" outlineLevel="0" r="168" s="4" customFormat="1">
      <c r="A168" s="17">
        <v>44166</v>
      </c>
      <c r="B168" s="4" t="s">
        <v>29</v>
      </c>
      <c r="C168" s="4" t="s">
        <v>30</v>
      </c>
      <c r="D168" s="4" t="s">
        <v>31</v>
      </c>
      <c r="E168" s="4" t="s">
        <v>10</v>
      </c>
      <c r="F168" s="4" t="s">
        <v>11</v>
      </c>
      <c r="G168" s="7">
        <v>409567477446</v>
      </c>
    </row>
    <row ht="12.8" outlineLevel="0" r="169" s="4" customFormat="1">
      <c r="A169" s="17">
        <v>44166</v>
      </c>
      <c r="B169" s="4" t="s">
        <v>26</v>
      </c>
      <c r="C169" s="4" t="s">
        <v>27</v>
      </c>
      <c r="D169" s="4" t="s">
        <v>28</v>
      </c>
      <c r="E169" s="4" t="s">
        <v>18</v>
      </c>
      <c r="F169" s="4" t="s">
        <v>19</v>
      </c>
      <c r="G169" s="7">
        <v>325366180687.63</v>
      </c>
    </row>
    <row ht="12.8" outlineLevel="0" r="170" s="4" customFormat="1">
      <c r="A170" s="17">
        <v>44166</v>
      </c>
      <c r="B170" s="4" t="s">
        <v>12</v>
      </c>
      <c r="C170" s="4" t="s">
        <v>8</v>
      </c>
      <c r="D170" s="4" t="s">
        <v>9</v>
      </c>
      <c r="E170" s="4" t="s">
        <v>14</v>
      </c>
      <c r="F170" s="4" t="s">
        <v>15</v>
      </c>
      <c r="G170" s="7">
        <v>669706967835.82</v>
      </c>
    </row>
    <row ht="12.8" outlineLevel="0" r="171" s="4" customFormat="1">
      <c r="A171" s="17">
        <v>44166</v>
      </c>
      <c r="B171" s="4" t="s">
        <v>7</v>
      </c>
      <c r="C171" s="4" t="s">
        <v>8</v>
      </c>
      <c r="D171" s="4" t="s">
        <v>9</v>
      </c>
      <c r="E171" s="4" t="s">
        <v>18</v>
      </c>
      <c r="F171" s="4" t="s">
        <v>19</v>
      </c>
      <c r="G171" s="7">
        <v>460578464481.92</v>
      </c>
    </row>
    <row ht="12.8" outlineLevel="0" r="172" s="4" customFormat="1">
      <c r="A172" s="17">
        <v>44166</v>
      </c>
      <c r="B172" s="4" t="s">
        <v>12</v>
      </c>
      <c r="C172" s="4" t="s">
        <v>8</v>
      </c>
      <c r="D172" s="4" t="s">
        <v>9</v>
      </c>
      <c r="E172" s="4" t="s">
        <v>10</v>
      </c>
      <c r="F172" s="4" t="s">
        <v>11</v>
      </c>
      <c r="G172" s="7">
        <v>674243441039</v>
      </c>
    </row>
    <row ht="12.8" outlineLevel="0" r="173" s="4" customFormat="1">
      <c r="A173" s="17">
        <v>44166</v>
      </c>
      <c r="B173" s="4" t="s">
        <v>25</v>
      </c>
      <c r="C173" s="4" t="s">
        <v>23</v>
      </c>
      <c r="D173" s="4" t="s">
        <v>24</v>
      </c>
      <c r="E173" s="4" t="s">
        <v>14</v>
      </c>
      <c r="F173" s="4" t="s">
        <v>15</v>
      </c>
      <c r="G173" s="7">
        <v>724532776763.82</v>
      </c>
    </row>
    <row ht="12.8" outlineLevel="0" r="174" s="4" customFormat="1">
      <c r="A174" s="17">
        <v>44166</v>
      </c>
      <c r="B174" s="4" t="s">
        <v>22</v>
      </c>
      <c r="C174" s="4" t="s">
        <v>23</v>
      </c>
      <c r="D174" s="4" t="s">
        <v>24</v>
      </c>
      <c r="E174" s="4" t="s">
        <v>16</v>
      </c>
      <c r="F174" s="4" t="s">
        <v>17</v>
      </c>
      <c r="G174" s="7">
        <v>311531191137.16</v>
      </c>
    </row>
    <row ht="12.8" outlineLevel="0" r="175" s="4" customFormat="1">
      <c r="A175" s="17">
        <v>44166</v>
      </c>
      <c r="B175" s="4" t="s">
        <v>25</v>
      </c>
      <c r="C175" s="4" t="s">
        <v>23</v>
      </c>
      <c r="D175" s="4" t="s">
        <v>24</v>
      </c>
      <c r="E175" s="4" t="s">
        <v>16</v>
      </c>
      <c r="F175" s="4" t="s">
        <v>17</v>
      </c>
      <c r="G175" s="7">
        <v>723323376763.82</v>
      </c>
    </row>
    <row ht="12.8" outlineLevel="0" r="176" s="4" customFormat="1">
      <c r="A176" s="17">
        <v>44166</v>
      </c>
      <c r="B176" s="4" t="s">
        <v>22</v>
      </c>
      <c r="C176" s="4" t="s">
        <v>23</v>
      </c>
      <c r="D176" s="4" t="s">
        <v>24</v>
      </c>
      <c r="E176" s="4" t="s">
        <v>20</v>
      </c>
      <c r="F176" s="4" t="s">
        <v>21</v>
      </c>
      <c r="G176" s="7">
        <v>2613573.81</v>
      </c>
    </row>
    <row ht="12.8" outlineLevel="0" r="177" s="4" customFormat="1">
      <c r="A177" s="17">
        <v>44166</v>
      </c>
      <c r="B177" s="4" t="s">
        <v>25</v>
      </c>
      <c r="C177" s="4" t="s">
        <v>23</v>
      </c>
      <c r="D177" s="4" t="s">
        <v>24</v>
      </c>
      <c r="E177" s="4" t="s">
        <v>20</v>
      </c>
      <c r="F177" s="4" t="s">
        <v>21</v>
      </c>
      <c r="G177" s="7">
        <v>1209400000</v>
      </c>
    </row>
    <row ht="12.8" outlineLevel="0" r="178" s="4" customFormat="1">
      <c r="A178" s="17">
        <v>44166</v>
      </c>
      <c r="B178" s="4" t="s">
        <v>35</v>
      </c>
      <c r="C178" s="4" t="s">
        <v>36</v>
      </c>
      <c r="D178" s="4" t="s">
        <v>37</v>
      </c>
      <c r="E178" s="4" t="s">
        <v>20</v>
      </c>
      <c r="F178" s="4" t="s">
        <v>21</v>
      </c>
      <c r="G178" s="7">
        <v>8218666665.62</v>
      </c>
    </row>
    <row ht="12.8" outlineLevel="0" r="179" s="4" customFormat="1">
      <c r="A179" s="17">
        <v>44166</v>
      </c>
      <c r="B179" s="4" t="s">
        <v>22</v>
      </c>
      <c r="C179" s="4" t="s">
        <v>23</v>
      </c>
      <c r="D179" s="4" t="s">
        <v>24</v>
      </c>
      <c r="E179" s="4" t="s">
        <v>10</v>
      </c>
      <c r="F179" s="4" t="s">
        <v>11</v>
      </c>
      <c r="G179" s="7">
        <v>420324108283.34</v>
      </c>
    </row>
    <row ht="12.8" outlineLevel="0" r="180" s="4" customFormat="1">
      <c r="A180" s="17">
        <v>44166</v>
      </c>
      <c r="B180" s="4" t="s">
        <v>35</v>
      </c>
      <c r="C180" s="4" t="s">
        <v>36</v>
      </c>
      <c r="D180" s="4" t="s">
        <v>37</v>
      </c>
      <c r="E180" s="4" t="s">
        <v>18</v>
      </c>
      <c r="F180" s="4" t="s">
        <v>19</v>
      </c>
      <c r="G180" s="7">
        <v>119517077175.12</v>
      </c>
    </row>
    <row ht="12.8" outlineLevel="0" r="181" s="4" customFormat="1">
      <c r="A181" s="17">
        <v>44166</v>
      </c>
      <c r="B181" s="4" t="s">
        <v>22</v>
      </c>
      <c r="C181" s="4" t="s">
        <v>23</v>
      </c>
      <c r="D181" s="4" t="s">
        <v>24</v>
      </c>
      <c r="E181" s="4" t="s">
        <v>14</v>
      </c>
      <c r="F181" s="4" t="s">
        <v>15</v>
      </c>
      <c r="G181" s="7">
        <v>311533804710.97</v>
      </c>
    </row>
    <row ht="12.8" outlineLevel="0" r="182" s="4" customFormat="1">
      <c r="A182" s="17">
        <v>44166</v>
      </c>
      <c r="B182" s="4" t="s">
        <v>35</v>
      </c>
      <c r="C182" s="4" t="s">
        <v>36</v>
      </c>
      <c r="D182" s="4" t="s">
        <v>37</v>
      </c>
      <c r="E182" s="4" t="s">
        <v>16</v>
      </c>
      <c r="F182" s="4" t="s">
        <v>17</v>
      </c>
      <c r="G182" s="7">
        <v>121477727726.47</v>
      </c>
    </row>
    <row ht="12.8" outlineLevel="0" r="183" s="4" customFormat="1">
      <c r="A183" s="17">
        <v>44166</v>
      </c>
      <c r="B183" s="4" t="s">
        <v>35</v>
      </c>
      <c r="C183" s="4" t="s">
        <v>36</v>
      </c>
      <c r="D183" s="4" t="s">
        <v>37</v>
      </c>
      <c r="E183" s="4" t="s">
        <v>14</v>
      </c>
      <c r="F183" s="4" t="s">
        <v>15</v>
      </c>
      <c r="G183" s="7">
        <v>129696394392.09</v>
      </c>
    </row>
    <row ht="12.8" outlineLevel="0" r="184" s="4" customFormat="1">
      <c r="A184" s="17">
        <v>44166</v>
      </c>
      <c r="B184" s="4" t="s">
        <v>22</v>
      </c>
      <c r="C184" s="4" t="s">
        <v>23</v>
      </c>
      <c r="D184" s="4" t="s">
        <v>24</v>
      </c>
      <c r="E184" s="4" t="s">
        <v>18</v>
      </c>
      <c r="F184" s="4" t="s">
        <v>19</v>
      </c>
      <c r="G184" s="7">
        <v>311528041774.93</v>
      </c>
    </row>
    <row ht="12.8" outlineLevel="0" r="185" s="4" customFormat="1">
      <c r="A185" s="17">
        <v>44166</v>
      </c>
      <c r="B185" s="4" t="s">
        <v>13</v>
      </c>
      <c r="C185" s="4" t="s">
        <v>8</v>
      </c>
      <c r="D185" s="4" t="s">
        <v>9</v>
      </c>
      <c r="E185" s="4" t="s">
        <v>18</v>
      </c>
      <c r="F185" s="4" t="s">
        <v>19</v>
      </c>
      <c r="G185" s="7">
        <v>599472652981.63</v>
      </c>
    </row>
    <row ht="12.8" outlineLevel="0" r="186" s="4" customFormat="1">
      <c r="A186" s="17">
        <v>44166</v>
      </c>
      <c r="B186" s="4" t="s">
        <v>13</v>
      </c>
      <c r="C186" s="4" t="s">
        <v>8</v>
      </c>
      <c r="D186" s="4" t="s">
        <v>9</v>
      </c>
      <c r="E186" s="4" t="s">
        <v>10</v>
      </c>
      <c r="F186" s="4" t="s">
        <v>11</v>
      </c>
      <c r="G186" s="7">
        <v>714070991790.32</v>
      </c>
    </row>
    <row ht="12.8" outlineLevel="0" r="187" s="4" customFormat="1">
      <c r="A187" s="17">
        <v>44166</v>
      </c>
      <c r="B187" s="4" t="s">
        <v>32</v>
      </c>
      <c r="C187" s="4" t="s">
        <v>33</v>
      </c>
      <c r="D187" s="4" t="s">
        <v>34</v>
      </c>
      <c r="E187" s="4" t="s">
        <v>20</v>
      </c>
      <c r="F187" s="4" t="s">
        <v>21</v>
      </c>
      <c r="G187" s="7">
        <v>25848106058.8096</v>
      </c>
    </row>
    <row ht="12.8" outlineLevel="0" r="188" s="4" customFormat="1">
      <c r="A188" s="17">
        <v>44166</v>
      </c>
      <c r="B188" s="4" t="s">
        <v>35</v>
      </c>
      <c r="C188" s="4" t="s">
        <v>36</v>
      </c>
      <c r="D188" s="4" t="s">
        <v>37</v>
      </c>
      <c r="E188" s="4" t="s">
        <v>10</v>
      </c>
      <c r="F188" s="4" t="s">
        <v>11</v>
      </c>
      <c r="G188" s="7">
        <v>264208815311</v>
      </c>
    </row>
    <row ht="12.8" outlineLevel="0" r="189" s="4" customFormat="1">
      <c r="A189" s="17">
        <v>44166</v>
      </c>
      <c r="B189" s="4" t="s">
        <v>32</v>
      </c>
      <c r="C189" s="4" t="s">
        <v>33</v>
      </c>
      <c r="D189" s="4" t="s">
        <v>34</v>
      </c>
      <c r="E189" s="4" t="s">
        <v>18</v>
      </c>
      <c r="F189" s="4" t="s">
        <v>19</v>
      </c>
      <c r="G189" s="7">
        <v>20966048833.2782</v>
      </c>
    </row>
    <row ht="12.8" outlineLevel="0" r="190" s="4" customFormat="1">
      <c r="A190" s="17">
        <v>44166</v>
      </c>
      <c r="B190" s="4" t="s">
        <v>12</v>
      </c>
      <c r="C190" s="4" t="s">
        <v>8</v>
      </c>
      <c r="D190" s="4" t="s">
        <v>9</v>
      </c>
      <c r="E190" s="4" t="s">
        <v>18</v>
      </c>
      <c r="F190" s="4" t="s">
        <v>19</v>
      </c>
      <c r="G190" s="7">
        <v>627878641706</v>
      </c>
    </row>
    <row ht="12.8" outlineLevel="0" r="191" s="4" customFormat="1">
      <c r="A191" s="17">
        <v>44166</v>
      </c>
      <c r="B191" s="4" t="s">
        <v>13</v>
      </c>
      <c r="C191" s="4" t="s">
        <v>8</v>
      </c>
      <c r="D191" s="4" t="s">
        <v>9</v>
      </c>
      <c r="E191" s="4" t="s">
        <v>14</v>
      </c>
      <c r="F191" s="4" t="s">
        <v>15</v>
      </c>
      <c r="G191" s="7">
        <v>642513689060.967</v>
      </c>
    </row>
    <row ht="12.8" outlineLevel="0" r="192" s="4" customFormat="1">
      <c r="A192" s="17">
        <v>44166</v>
      </c>
      <c r="B192" s="4" t="s">
        <v>25</v>
      </c>
      <c r="C192" s="4" t="s">
        <v>23</v>
      </c>
      <c r="D192" s="4" t="s">
        <v>24</v>
      </c>
      <c r="E192" s="4" t="s">
        <v>10</v>
      </c>
      <c r="F192" s="4" t="s">
        <v>11</v>
      </c>
      <c r="G192" s="7">
        <v>772757653824.66</v>
      </c>
    </row>
    <row ht="12.8" outlineLevel="0" r="193" s="4" customFormat="1">
      <c r="A193" s="17">
        <v>44166</v>
      </c>
      <c r="B193" s="4" t="s">
        <v>13</v>
      </c>
      <c r="C193" s="4" t="s">
        <v>8</v>
      </c>
      <c r="D193" s="4" t="s">
        <v>9</v>
      </c>
      <c r="E193" s="4" t="s">
        <v>16</v>
      </c>
      <c r="F193" s="4" t="s">
        <v>17</v>
      </c>
      <c r="G193" s="7">
        <v>604057327304.253</v>
      </c>
    </row>
    <row ht="12.8" outlineLevel="0" r="194" s="4" customFormat="1">
      <c r="A194" s="17">
        <v>44166</v>
      </c>
      <c r="B194" s="4" t="s">
        <v>12</v>
      </c>
      <c r="C194" s="4" t="s">
        <v>8</v>
      </c>
      <c r="D194" s="4" t="s">
        <v>9</v>
      </c>
      <c r="E194" s="4" t="s">
        <v>20</v>
      </c>
      <c r="F194" s="4" t="s">
        <v>21</v>
      </c>
      <c r="G194" s="7">
        <v>2729912341.95</v>
      </c>
    </row>
    <row ht="12.8" outlineLevel="0" r="195" s="4" customFormat="1">
      <c r="A195" s="17">
        <v>44166</v>
      </c>
      <c r="B195" s="4" t="s">
        <v>13</v>
      </c>
      <c r="C195" s="4" t="s">
        <v>8</v>
      </c>
      <c r="D195" s="4" t="s">
        <v>9</v>
      </c>
      <c r="E195" s="4" t="s">
        <v>20</v>
      </c>
      <c r="F195" s="4" t="s">
        <v>21</v>
      </c>
      <c r="G195" s="7">
        <v>38456361756.714</v>
      </c>
    </row>
    <row ht="12.8" outlineLevel="0" r="196" s="4" customFormat="1">
      <c r="A196" s="17">
        <v>44136</v>
      </c>
      <c r="B196" s="4" t="s">
        <v>26</v>
      </c>
      <c r="C196" s="4" t="s">
        <v>27</v>
      </c>
      <c r="D196" s="4" t="s">
        <v>28</v>
      </c>
      <c r="E196" s="4" t="s">
        <v>16</v>
      </c>
      <c r="F196" s="4" t="s">
        <v>17</v>
      </c>
      <c r="G196" s="7">
        <v>312137969776.206</v>
      </c>
    </row>
    <row ht="12.8" outlineLevel="0" r="197" s="4" customFormat="1">
      <c r="A197" s="17">
        <v>44136</v>
      </c>
      <c r="B197" s="4" t="s">
        <v>26</v>
      </c>
      <c r="C197" s="4" t="s">
        <v>27</v>
      </c>
      <c r="D197" s="4" t="s">
        <v>28</v>
      </c>
      <c r="E197" s="4" t="s">
        <v>14</v>
      </c>
      <c r="F197" s="4" t="s">
        <v>15</v>
      </c>
      <c r="G197" s="7">
        <v>333720245874.816</v>
      </c>
    </row>
    <row ht="12.8" outlineLevel="0" r="198" s="4" customFormat="1">
      <c r="A198" s="17">
        <v>44136</v>
      </c>
      <c r="B198" s="4" t="s">
        <v>13</v>
      </c>
      <c r="C198" s="4" t="s">
        <v>8</v>
      </c>
      <c r="D198" s="4" t="s">
        <v>9</v>
      </c>
      <c r="E198" s="4" t="s">
        <v>14</v>
      </c>
      <c r="F198" s="4" t="s">
        <v>15</v>
      </c>
      <c r="G198" s="7">
        <v>662865836414.711</v>
      </c>
    </row>
    <row ht="12.8" outlineLevel="0" r="199" s="4" customFormat="1">
      <c r="A199" s="17">
        <v>44136</v>
      </c>
      <c r="B199" s="4" t="s">
        <v>26</v>
      </c>
      <c r="C199" s="4" t="s">
        <v>27</v>
      </c>
      <c r="D199" s="4" t="s">
        <v>28</v>
      </c>
      <c r="E199" s="4" t="s">
        <v>18</v>
      </c>
      <c r="F199" s="4" t="s">
        <v>19</v>
      </c>
      <c r="G199" s="7">
        <v>288382547142.996</v>
      </c>
    </row>
    <row ht="12.8" outlineLevel="0" r="200" s="4" customFormat="1">
      <c r="A200" s="17">
        <v>44136</v>
      </c>
      <c r="B200" s="4" t="s">
        <v>32</v>
      </c>
      <c r="C200" s="4" t="s">
        <v>33</v>
      </c>
      <c r="D200" s="4" t="s">
        <v>34</v>
      </c>
      <c r="E200" s="4" t="s">
        <v>14</v>
      </c>
      <c r="F200" s="4" t="s">
        <v>15</v>
      </c>
      <c r="G200" s="7">
        <v>30221070505.4123</v>
      </c>
    </row>
    <row ht="12.8" outlineLevel="0" r="201" s="4" customFormat="1">
      <c r="A201" s="17">
        <v>44136</v>
      </c>
      <c r="B201" s="4" t="s">
        <v>13</v>
      </c>
      <c r="C201" s="4" t="s">
        <v>8</v>
      </c>
      <c r="D201" s="4" t="s">
        <v>9</v>
      </c>
      <c r="E201" s="4" t="s">
        <v>16</v>
      </c>
      <c r="F201" s="4" t="s">
        <v>17</v>
      </c>
      <c r="G201" s="7">
        <v>555101915673.981</v>
      </c>
    </row>
    <row ht="12.8" outlineLevel="0" r="202" s="4" customFormat="1">
      <c r="A202" s="17">
        <v>44136</v>
      </c>
      <c r="B202" s="4" t="s">
        <v>13</v>
      </c>
      <c r="C202" s="4" t="s">
        <v>8</v>
      </c>
      <c r="D202" s="4" t="s">
        <v>9</v>
      </c>
      <c r="E202" s="4" t="s">
        <v>18</v>
      </c>
      <c r="F202" s="4" t="s">
        <v>19</v>
      </c>
      <c r="G202" s="7">
        <v>548942589377.946</v>
      </c>
    </row>
    <row ht="12.8" outlineLevel="0" r="203" s="4" customFormat="1">
      <c r="A203" s="17">
        <v>44136</v>
      </c>
      <c r="B203" s="4" t="s">
        <v>32</v>
      </c>
      <c r="C203" s="4" t="s">
        <v>33</v>
      </c>
      <c r="D203" s="4" t="s">
        <v>34</v>
      </c>
      <c r="E203" s="4" t="s">
        <v>16</v>
      </c>
      <c r="F203" s="4" t="s">
        <v>17</v>
      </c>
      <c r="G203" s="7">
        <v>14207051204.6902</v>
      </c>
    </row>
    <row ht="12.8" outlineLevel="0" r="204" s="4" customFormat="1">
      <c r="A204" s="17">
        <v>44136</v>
      </c>
      <c r="B204" s="4" t="s">
        <v>32</v>
      </c>
      <c r="C204" s="4" t="s">
        <v>33</v>
      </c>
      <c r="D204" s="4" t="s">
        <v>34</v>
      </c>
      <c r="E204" s="4" t="s">
        <v>18</v>
      </c>
      <c r="F204" s="4" t="s">
        <v>19</v>
      </c>
      <c r="G204" s="7">
        <v>13918656058.3526</v>
      </c>
    </row>
    <row ht="12.8" outlineLevel="0" r="205" s="4" customFormat="1">
      <c r="A205" s="17">
        <v>44136</v>
      </c>
      <c r="B205" s="4" t="s">
        <v>22</v>
      </c>
      <c r="C205" s="4" t="s">
        <v>23</v>
      </c>
      <c r="D205" s="4" t="s">
        <v>24</v>
      </c>
      <c r="E205" s="4" t="s">
        <v>18</v>
      </c>
      <c r="F205" s="4" t="s">
        <v>19</v>
      </c>
      <c r="G205" s="7">
        <v>311515073944.06</v>
      </c>
    </row>
    <row ht="12.8" outlineLevel="0" r="206" s="4" customFormat="1">
      <c r="A206" s="17">
        <v>44136</v>
      </c>
      <c r="B206" s="4" t="s">
        <v>38</v>
      </c>
      <c r="C206" s="4" t="s">
        <v>39</v>
      </c>
      <c r="D206" s="4" t="s">
        <v>40</v>
      </c>
      <c r="E206" s="4" t="s">
        <v>10</v>
      </c>
      <c r="F206" s="4" t="s">
        <v>11</v>
      </c>
      <c r="G206" s="7">
        <v>31159499277</v>
      </c>
    </row>
    <row ht="12.8" outlineLevel="0" r="207" s="4" customFormat="1">
      <c r="A207" s="17">
        <v>44136</v>
      </c>
      <c r="B207" s="4" t="s">
        <v>25</v>
      </c>
      <c r="C207" s="4" t="s">
        <v>23</v>
      </c>
      <c r="D207" s="4" t="s">
        <v>24</v>
      </c>
      <c r="E207" s="4" t="s">
        <v>14</v>
      </c>
      <c r="F207" s="4" t="s">
        <v>15</v>
      </c>
      <c r="G207" s="7">
        <v>720291410356.73</v>
      </c>
    </row>
    <row ht="12.8" outlineLevel="0" r="208" s="4" customFormat="1">
      <c r="A208" s="17">
        <v>44136</v>
      </c>
      <c r="B208" s="4" t="s">
        <v>25</v>
      </c>
      <c r="C208" s="4" t="s">
        <v>23</v>
      </c>
      <c r="D208" s="4" t="s">
        <v>24</v>
      </c>
      <c r="E208" s="4" t="s">
        <v>10</v>
      </c>
      <c r="F208" s="4" t="s">
        <v>11</v>
      </c>
      <c r="G208" s="7">
        <v>772361760045.39</v>
      </c>
    </row>
    <row ht="12.8" outlineLevel="0" r="209" s="4" customFormat="1">
      <c r="A209" s="17">
        <v>44136</v>
      </c>
      <c r="B209" s="4" t="s">
        <v>25</v>
      </c>
      <c r="C209" s="4" t="s">
        <v>23</v>
      </c>
      <c r="D209" s="4" t="s">
        <v>24</v>
      </c>
      <c r="E209" s="4" t="s">
        <v>18</v>
      </c>
      <c r="F209" s="4" t="s">
        <v>19</v>
      </c>
      <c r="G209" s="7">
        <v>715558629557.84</v>
      </c>
    </row>
    <row ht="12.8" outlineLevel="0" r="210" s="4" customFormat="1">
      <c r="A210" s="17">
        <v>44136</v>
      </c>
      <c r="B210" s="4" t="s">
        <v>26</v>
      </c>
      <c r="C210" s="4" t="s">
        <v>27</v>
      </c>
      <c r="D210" s="4" t="s">
        <v>28</v>
      </c>
      <c r="E210" s="4" t="s">
        <v>10</v>
      </c>
      <c r="F210" s="4" t="s">
        <v>11</v>
      </c>
      <c r="G210" s="7">
        <v>349241956815</v>
      </c>
    </row>
    <row ht="12.8" outlineLevel="0" r="211" s="4" customFormat="1">
      <c r="A211" s="17">
        <v>44136</v>
      </c>
      <c r="B211" s="4" t="s">
        <v>13</v>
      </c>
      <c r="C211" s="4" t="s">
        <v>8</v>
      </c>
      <c r="D211" s="4" t="s">
        <v>9</v>
      </c>
      <c r="E211" s="4" t="s">
        <v>10</v>
      </c>
      <c r="F211" s="4" t="s">
        <v>11</v>
      </c>
      <c r="G211" s="7">
        <v>706830506293.92</v>
      </c>
    </row>
    <row ht="12.8" outlineLevel="0" r="212" s="4" customFormat="1">
      <c r="A212" s="17">
        <v>44136</v>
      </c>
      <c r="B212" s="4" t="s">
        <v>25</v>
      </c>
      <c r="C212" s="4" t="s">
        <v>23</v>
      </c>
      <c r="D212" s="4" t="s">
        <v>24</v>
      </c>
      <c r="E212" s="4" t="s">
        <v>16</v>
      </c>
      <c r="F212" s="4" t="s">
        <v>17</v>
      </c>
      <c r="G212" s="7">
        <v>715558629557.84</v>
      </c>
    </row>
    <row ht="12.8" outlineLevel="0" r="213" s="4" customFormat="1">
      <c r="A213" s="17">
        <v>44136</v>
      </c>
      <c r="B213" s="4" t="s">
        <v>22</v>
      </c>
      <c r="C213" s="4" t="s">
        <v>23</v>
      </c>
      <c r="D213" s="4" t="s">
        <v>24</v>
      </c>
      <c r="E213" s="4" t="s">
        <v>16</v>
      </c>
      <c r="F213" s="4" t="s">
        <v>17</v>
      </c>
      <c r="G213" s="7">
        <v>311516374689.95</v>
      </c>
    </row>
    <row ht="12.8" outlineLevel="0" r="214" s="4" customFormat="1">
      <c r="A214" s="17">
        <v>44136</v>
      </c>
      <c r="B214" s="4" t="s">
        <v>32</v>
      </c>
      <c r="C214" s="4" t="s">
        <v>33</v>
      </c>
      <c r="D214" s="4" t="s">
        <v>34</v>
      </c>
      <c r="E214" s="4" t="s">
        <v>10</v>
      </c>
      <c r="F214" s="4" t="s">
        <v>11</v>
      </c>
      <c r="G214" s="7">
        <v>46284602902.99</v>
      </c>
    </row>
    <row ht="12.8" outlineLevel="0" r="215" s="4" customFormat="1">
      <c r="A215" s="17">
        <v>44136</v>
      </c>
      <c r="B215" s="4" t="s">
        <v>29</v>
      </c>
      <c r="C215" s="4" t="s">
        <v>30</v>
      </c>
      <c r="D215" s="4" t="s">
        <v>31</v>
      </c>
      <c r="E215" s="4" t="s">
        <v>18</v>
      </c>
      <c r="F215" s="4" t="s">
        <v>19</v>
      </c>
      <c r="G215" s="7">
        <v>343013424503.46</v>
      </c>
    </row>
    <row ht="12.8" outlineLevel="0" r="216" s="4" customFormat="1">
      <c r="A216" s="17">
        <v>44136</v>
      </c>
      <c r="B216" s="4" t="s">
        <v>35</v>
      </c>
      <c r="C216" s="4" t="s">
        <v>36</v>
      </c>
      <c r="D216" s="4" t="s">
        <v>37</v>
      </c>
      <c r="E216" s="4" t="s">
        <v>16</v>
      </c>
      <c r="F216" s="4" t="s">
        <v>17</v>
      </c>
      <c r="G216" s="7">
        <v>100305747704.77</v>
      </c>
    </row>
    <row ht="12.8" outlineLevel="0" r="217" s="4" customFormat="1">
      <c r="A217" s="17">
        <v>44136</v>
      </c>
      <c r="B217" s="4" t="s">
        <v>7</v>
      </c>
      <c r="C217" s="4" t="s">
        <v>8</v>
      </c>
      <c r="D217" s="4" t="s">
        <v>9</v>
      </c>
      <c r="E217" s="4" t="s">
        <v>14</v>
      </c>
      <c r="F217" s="4" t="s">
        <v>15</v>
      </c>
      <c r="G217" s="7">
        <v>478272554406.38</v>
      </c>
    </row>
    <row ht="12.8" outlineLevel="0" r="218" s="4" customFormat="1">
      <c r="A218" s="17">
        <v>44136</v>
      </c>
      <c r="B218" s="4" t="s">
        <v>7</v>
      </c>
      <c r="C218" s="4" t="s">
        <v>8</v>
      </c>
      <c r="D218" s="4" t="s">
        <v>9</v>
      </c>
      <c r="E218" s="4" t="s">
        <v>10</v>
      </c>
      <c r="F218" s="4" t="s">
        <v>11</v>
      </c>
      <c r="G218" s="7">
        <v>499969944664.12</v>
      </c>
    </row>
    <row ht="12.8" outlineLevel="0" r="219" s="4" customFormat="1">
      <c r="A219" s="17">
        <v>44136</v>
      </c>
      <c r="B219" s="4" t="s">
        <v>22</v>
      </c>
      <c r="C219" s="4" t="s">
        <v>23</v>
      </c>
      <c r="D219" s="4" t="s">
        <v>24</v>
      </c>
      <c r="E219" s="4" t="s">
        <v>10</v>
      </c>
      <c r="F219" s="4" t="s">
        <v>11</v>
      </c>
      <c r="G219" s="7">
        <v>420720002062.61</v>
      </c>
    </row>
    <row ht="12.8" outlineLevel="0" r="220" s="4" customFormat="1">
      <c r="A220" s="17">
        <v>44136</v>
      </c>
      <c r="B220" s="4" t="s">
        <v>35</v>
      </c>
      <c r="C220" s="4" t="s">
        <v>36</v>
      </c>
      <c r="D220" s="4" t="s">
        <v>37</v>
      </c>
      <c r="E220" s="4" t="s">
        <v>18</v>
      </c>
      <c r="F220" s="4" t="s">
        <v>19</v>
      </c>
      <c r="G220" s="7">
        <v>100301058360.67</v>
      </c>
    </row>
    <row ht="12.8" outlineLevel="0" r="221" s="4" customFormat="1">
      <c r="A221" s="17">
        <v>44136</v>
      </c>
      <c r="B221" s="4" t="s">
        <v>22</v>
      </c>
      <c r="C221" s="4" t="s">
        <v>23</v>
      </c>
      <c r="D221" s="4" t="s">
        <v>24</v>
      </c>
      <c r="E221" s="4" t="s">
        <v>14</v>
      </c>
      <c r="F221" s="4" t="s">
        <v>15</v>
      </c>
      <c r="G221" s="7">
        <v>311671482441.96</v>
      </c>
    </row>
    <row ht="12.8" outlineLevel="0" r="222" s="4" customFormat="1">
      <c r="A222" s="17">
        <v>44136</v>
      </c>
      <c r="B222" s="4" t="s">
        <v>35</v>
      </c>
      <c r="C222" s="4" t="s">
        <v>36</v>
      </c>
      <c r="D222" s="4" t="s">
        <v>37</v>
      </c>
      <c r="E222" s="4" t="s">
        <v>10</v>
      </c>
      <c r="F222" s="4" t="s">
        <v>11</v>
      </c>
      <c r="G222" s="7">
        <v>253999059799</v>
      </c>
    </row>
    <row ht="12.8" outlineLevel="0" r="223" s="4" customFormat="1">
      <c r="A223" s="17">
        <v>44136</v>
      </c>
      <c r="B223" s="4" t="s">
        <v>35</v>
      </c>
      <c r="C223" s="4" t="s">
        <v>36</v>
      </c>
      <c r="D223" s="4" t="s">
        <v>37</v>
      </c>
      <c r="E223" s="4" t="s">
        <v>14</v>
      </c>
      <c r="F223" s="4" t="s">
        <v>15</v>
      </c>
      <c r="G223" s="7">
        <v>118740557372.32</v>
      </c>
    </row>
    <row ht="12.8" outlineLevel="0" r="224" s="4" customFormat="1">
      <c r="A224" s="17">
        <v>44136</v>
      </c>
      <c r="B224" s="4" t="s">
        <v>7</v>
      </c>
      <c r="C224" s="4" t="s">
        <v>8</v>
      </c>
      <c r="D224" s="4" t="s">
        <v>9</v>
      </c>
      <c r="E224" s="4" t="s">
        <v>16</v>
      </c>
      <c r="F224" s="4" t="s">
        <v>17</v>
      </c>
      <c r="G224" s="7">
        <v>415856186800.84</v>
      </c>
    </row>
    <row ht="12.8" outlineLevel="0" r="225" s="4" customFormat="1">
      <c r="A225" s="17">
        <v>44136</v>
      </c>
      <c r="B225" s="4" t="s">
        <v>12</v>
      </c>
      <c r="C225" s="4" t="s">
        <v>8</v>
      </c>
      <c r="D225" s="4" t="s">
        <v>9</v>
      </c>
      <c r="E225" s="4" t="s">
        <v>18</v>
      </c>
      <c r="F225" s="4" t="s">
        <v>19</v>
      </c>
      <c r="G225" s="7">
        <v>575453798140.89</v>
      </c>
    </row>
    <row ht="12.8" outlineLevel="0" r="226" s="4" customFormat="1">
      <c r="A226" s="17">
        <v>44136</v>
      </c>
      <c r="B226" s="4" t="s">
        <v>12</v>
      </c>
      <c r="C226" s="4" t="s">
        <v>8</v>
      </c>
      <c r="D226" s="4" t="s">
        <v>9</v>
      </c>
      <c r="E226" s="4" t="s">
        <v>10</v>
      </c>
      <c r="F226" s="4" t="s">
        <v>11</v>
      </c>
      <c r="G226" s="7">
        <v>678078821725</v>
      </c>
    </row>
    <row ht="12.8" outlineLevel="0" r="227" s="4" customFormat="1">
      <c r="A227" s="17">
        <v>44136</v>
      </c>
      <c r="B227" s="4" t="s">
        <v>7</v>
      </c>
      <c r="C227" s="4" t="s">
        <v>8</v>
      </c>
      <c r="D227" s="4" t="s">
        <v>9</v>
      </c>
      <c r="E227" s="4" t="s">
        <v>18</v>
      </c>
      <c r="F227" s="4" t="s">
        <v>19</v>
      </c>
      <c r="G227" s="7">
        <v>415593477339.55</v>
      </c>
    </row>
    <row ht="12.8" outlineLevel="0" r="228" s="4" customFormat="1">
      <c r="A228" s="17">
        <v>44136</v>
      </c>
      <c r="B228" s="4" t="s">
        <v>12</v>
      </c>
      <c r="C228" s="4" t="s">
        <v>8</v>
      </c>
      <c r="D228" s="4" t="s">
        <v>9</v>
      </c>
      <c r="E228" s="4" t="s">
        <v>16</v>
      </c>
      <c r="F228" s="4" t="s">
        <v>17</v>
      </c>
      <c r="G228" s="7">
        <v>615571184887.88</v>
      </c>
    </row>
    <row ht="12.8" outlineLevel="0" r="229" s="4" customFormat="1">
      <c r="A229" s="17">
        <v>44136</v>
      </c>
      <c r="B229" s="4" t="s">
        <v>29</v>
      </c>
      <c r="C229" s="4" t="s">
        <v>30</v>
      </c>
      <c r="D229" s="4" t="s">
        <v>31</v>
      </c>
      <c r="E229" s="4" t="s">
        <v>14</v>
      </c>
      <c r="F229" s="4" t="s">
        <v>15</v>
      </c>
      <c r="G229" s="7">
        <v>348203561245.47</v>
      </c>
    </row>
    <row ht="12.8" outlineLevel="0" r="230" s="4" customFormat="1">
      <c r="A230" s="17">
        <v>44136</v>
      </c>
      <c r="B230" s="4" t="s">
        <v>29</v>
      </c>
      <c r="C230" s="4" t="s">
        <v>30</v>
      </c>
      <c r="D230" s="4" t="s">
        <v>31</v>
      </c>
      <c r="E230" s="4" t="s">
        <v>10</v>
      </c>
      <c r="F230" s="4" t="s">
        <v>11</v>
      </c>
      <c r="G230" s="7">
        <v>409567477446</v>
      </c>
    </row>
    <row ht="12.8" outlineLevel="0" r="231" s="4" customFormat="1">
      <c r="A231" s="17">
        <v>44136</v>
      </c>
      <c r="B231" s="4" t="s">
        <v>12</v>
      </c>
      <c r="C231" s="4" t="s">
        <v>8</v>
      </c>
      <c r="D231" s="4" t="s">
        <v>9</v>
      </c>
      <c r="E231" s="4" t="s">
        <v>14</v>
      </c>
      <c r="F231" s="4" t="s">
        <v>15</v>
      </c>
      <c r="G231" s="7">
        <v>670935663045.41</v>
      </c>
    </row>
    <row ht="12.8" outlineLevel="0" r="232" s="4" customFormat="1">
      <c r="A232" s="17">
        <v>44136</v>
      </c>
      <c r="B232" s="4" t="s">
        <v>29</v>
      </c>
      <c r="C232" s="4" t="s">
        <v>30</v>
      </c>
      <c r="D232" s="4" t="s">
        <v>31</v>
      </c>
      <c r="E232" s="4" t="s">
        <v>16</v>
      </c>
      <c r="F232" s="4" t="s">
        <v>17</v>
      </c>
      <c r="G232" s="7">
        <v>343013687951.52</v>
      </c>
    </row>
    <row ht="12.8" outlineLevel="0" r="233" s="4" customFormat="1">
      <c r="A233" s="17">
        <v>44105</v>
      </c>
      <c r="B233" s="4" t="s">
        <v>7</v>
      </c>
      <c r="C233" s="4" t="s">
        <v>8</v>
      </c>
      <c r="D233" s="4" t="s">
        <v>9</v>
      </c>
      <c r="E233" s="4" t="s">
        <v>10</v>
      </c>
      <c r="F233" s="4" t="s">
        <v>11</v>
      </c>
      <c r="G233" s="7">
        <v>499375098419.45</v>
      </c>
    </row>
    <row ht="12.8" outlineLevel="0" r="234" s="4" customFormat="1">
      <c r="A234" s="17">
        <v>44105</v>
      </c>
      <c r="B234" s="4" t="s">
        <v>26</v>
      </c>
      <c r="C234" s="4" t="s">
        <v>27</v>
      </c>
      <c r="D234" s="4" t="s">
        <v>28</v>
      </c>
      <c r="E234" s="4" t="s">
        <v>16</v>
      </c>
      <c r="F234" s="4" t="s">
        <v>17</v>
      </c>
      <c r="G234" s="7">
        <v>273372158868.442</v>
      </c>
    </row>
    <row ht="12.8" outlineLevel="0" r="235" s="4" customFormat="1">
      <c r="A235" s="17">
        <v>44105</v>
      </c>
      <c r="B235" s="4" t="s">
        <v>12</v>
      </c>
      <c r="C235" s="4" t="s">
        <v>8</v>
      </c>
      <c r="D235" s="4" t="s">
        <v>9</v>
      </c>
      <c r="E235" s="4" t="s">
        <v>14</v>
      </c>
      <c r="F235" s="4" t="s">
        <v>15</v>
      </c>
      <c r="G235" s="7">
        <v>671323370941.7</v>
      </c>
    </row>
    <row ht="12.8" outlineLevel="0" r="236" s="4" customFormat="1">
      <c r="A236" s="17">
        <v>44105</v>
      </c>
      <c r="B236" s="4" t="s">
        <v>12</v>
      </c>
      <c r="C236" s="4" t="s">
        <v>8</v>
      </c>
      <c r="D236" s="4" t="s">
        <v>9</v>
      </c>
      <c r="E236" s="4" t="s">
        <v>16</v>
      </c>
      <c r="F236" s="4" t="s">
        <v>17</v>
      </c>
      <c r="G236" s="7">
        <v>563334716362.75</v>
      </c>
    </row>
    <row ht="12.8" outlineLevel="0" r="237" s="4" customFormat="1">
      <c r="A237" s="17">
        <v>44105</v>
      </c>
      <c r="B237" s="4" t="s">
        <v>26</v>
      </c>
      <c r="C237" s="4" t="s">
        <v>27</v>
      </c>
      <c r="D237" s="4" t="s">
        <v>28</v>
      </c>
      <c r="E237" s="4" t="s">
        <v>18</v>
      </c>
      <c r="F237" s="4" t="s">
        <v>19</v>
      </c>
      <c r="G237" s="7">
        <v>256906876627.132</v>
      </c>
    </row>
    <row ht="12.8" outlineLevel="0" r="238" s="4" customFormat="1">
      <c r="A238" s="17">
        <v>44105</v>
      </c>
      <c r="B238" s="4" t="s">
        <v>29</v>
      </c>
      <c r="C238" s="4" t="s">
        <v>30</v>
      </c>
      <c r="D238" s="4" t="s">
        <v>31</v>
      </c>
      <c r="E238" s="4" t="s">
        <v>16</v>
      </c>
      <c r="F238" s="4" t="s">
        <v>17</v>
      </c>
      <c r="G238" s="7">
        <v>320313176248.3</v>
      </c>
    </row>
    <row ht="12.8" outlineLevel="0" r="239" s="4" customFormat="1">
      <c r="A239" s="17">
        <v>44105</v>
      </c>
      <c r="B239" s="4" t="s">
        <v>29</v>
      </c>
      <c r="C239" s="4" t="s">
        <v>30</v>
      </c>
      <c r="D239" s="4" t="s">
        <v>31</v>
      </c>
      <c r="E239" s="4" t="s">
        <v>18</v>
      </c>
      <c r="F239" s="4" t="s">
        <v>19</v>
      </c>
      <c r="G239" s="7">
        <v>320312966971.69</v>
      </c>
    </row>
    <row ht="12.8" outlineLevel="0" r="240" s="4" customFormat="1">
      <c r="A240" s="17">
        <v>44105</v>
      </c>
      <c r="B240" s="4" t="s">
        <v>26</v>
      </c>
      <c r="C240" s="4" t="s">
        <v>27</v>
      </c>
      <c r="D240" s="4" t="s">
        <v>28</v>
      </c>
      <c r="E240" s="4" t="s">
        <v>10</v>
      </c>
      <c r="F240" s="4" t="s">
        <v>11</v>
      </c>
      <c r="G240" s="7">
        <v>345660794744</v>
      </c>
    </row>
    <row ht="12.8" outlineLevel="0" r="241" s="4" customFormat="1">
      <c r="A241" s="17">
        <v>44105</v>
      </c>
      <c r="B241" s="4" t="s">
        <v>26</v>
      </c>
      <c r="C241" s="4" t="s">
        <v>27</v>
      </c>
      <c r="D241" s="4" t="s">
        <v>28</v>
      </c>
      <c r="E241" s="4" t="s">
        <v>14</v>
      </c>
      <c r="F241" s="4" t="s">
        <v>15</v>
      </c>
      <c r="G241" s="7">
        <v>315896127181.235</v>
      </c>
    </row>
    <row ht="12.8" outlineLevel="0" r="242" s="4" customFormat="1">
      <c r="A242" s="17">
        <v>44105</v>
      </c>
      <c r="B242" s="4" t="s">
        <v>25</v>
      </c>
      <c r="C242" s="4" t="s">
        <v>23</v>
      </c>
      <c r="D242" s="4" t="s">
        <v>24</v>
      </c>
      <c r="E242" s="4" t="s">
        <v>16</v>
      </c>
      <c r="F242" s="4" t="s">
        <v>17</v>
      </c>
      <c r="G242" s="7">
        <v>711732839341.25</v>
      </c>
    </row>
    <row ht="12.8" outlineLevel="0" r="243" s="4" customFormat="1">
      <c r="A243" s="17">
        <v>44105</v>
      </c>
      <c r="B243" s="4" t="s">
        <v>7</v>
      </c>
      <c r="C243" s="4" t="s">
        <v>8</v>
      </c>
      <c r="D243" s="4" t="s">
        <v>9</v>
      </c>
      <c r="E243" s="4" t="s">
        <v>18</v>
      </c>
      <c r="F243" s="4" t="s">
        <v>19</v>
      </c>
      <c r="G243" s="7">
        <v>380623403285.95</v>
      </c>
    </row>
    <row ht="12.8" outlineLevel="0" r="244" s="4" customFormat="1">
      <c r="A244" s="17">
        <v>44105</v>
      </c>
      <c r="B244" s="4" t="s">
        <v>25</v>
      </c>
      <c r="C244" s="4" t="s">
        <v>23</v>
      </c>
      <c r="D244" s="4" t="s">
        <v>24</v>
      </c>
      <c r="E244" s="4" t="s">
        <v>18</v>
      </c>
      <c r="F244" s="4" t="s">
        <v>19</v>
      </c>
      <c r="G244" s="7">
        <v>711732839341.25</v>
      </c>
    </row>
    <row ht="12.8" outlineLevel="0" r="245" s="4" customFormat="1">
      <c r="A245" s="17">
        <v>44105</v>
      </c>
      <c r="B245" s="4" t="s">
        <v>38</v>
      </c>
      <c r="C245" s="4" t="s">
        <v>39</v>
      </c>
      <c r="D245" s="4" t="s">
        <v>40</v>
      </c>
      <c r="E245" s="4" t="s">
        <v>10</v>
      </c>
      <c r="F245" s="4" t="s">
        <v>11</v>
      </c>
      <c r="G245" s="7">
        <v>32209464230</v>
      </c>
    </row>
    <row ht="12.8" outlineLevel="0" r="246" s="4" customFormat="1">
      <c r="A246" s="17">
        <v>44105</v>
      </c>
      <c r="B246" s="4" t="s">
        <v>12</v>
      </c>
      <c r="C246" s="4" t="s">
        <v>8</v>
      </c>
      <c r="D246" s="4" t="s">
        <v>9</v>
      </c>
      <c r="E246" s="4" t="s">
        <v>10</v>
      </c>
      <c r="F246" s="4" t="s">
        <v>11</v>
      </c>
      <c r="G246" s="7">
        <v>678185236768</v>
      </c>
    </row>
    <row ht="12.8" outlineLevel="0" r="247" s="4" customFormat="1">
      <c r="A247" s="17">
        <v>44105</v>
      </c>
      <c r="B247" s="4" t="s">
        <v>12</v>
      </c>
      <c r="C247" s="4" t="s">
        <v>8</v>
      </c>
      <c r="D247" s="4" t="s">
        <v>9</v>
      </c>
      <c r="E247" s="4" t="s">
        <v>18</v>
      </c>
      <c r="F247" s="4" t="s">
        <v>19</v>
      </c>
      <c r="G247" s="7">
        <v>524353512910.89</v>
      </c>
    </row>
    <row ht="12.8" outlineLevel="0" r="248" s="4" customFormat="1">
      <c r="A248" s="17">
        <v>44105</v>
      </c>
      <c r="B248" s="4" t="s">
        <v>13</v>
      </c>
      <c r="C248" s="4" t="s">
        <v>8</v>
      </c>
      <c r="D248" s="4" t="s">
        <v>9</v>
      </c>
      <c r="E248" s="4" t="s">
        <v>10</v>
      </c>
      <c r="F248" s="4" t="s">
        <v>11</v>
      </c>
      <c r="G248" s="7">
        <v>708916316081.27</v>
      </c>
    </row>
    <row ht="12.8" outlineLevel="0" r="249" s="4" customFormat="1">
      <c r="A249" s="17">
        <v>44105</v>
      </c>
      <c r="B249" s="4" t="s">
        <v>7</v>
      </c>
      <c r="C249" s="4" t="s">
        <v>8</v>
      </c>
      <c r="D249" s="4" t="s">
        <v>9</v>
      </c>
      <c r="E249" s="4" t="s">
        <v>14</v>
      </c>
      <c r="F249" s="4" t="s">
        <v>15</v>
      </c>
      <c r="G249" s="7">
        <v>466760525009.52</v>
      </c>
    </row>
    <row ht="12.8" outlineLevel="0" r="250" s="4" customFormat="1">
      <c r="A250" s="17">
        <v>44105</v>
      </c>
      <c r="B250" s="4" t="s">
        <v>7</v>
      </c>
      <c r="C250" s="4" t="s">
        <v>8</v>
      </c>
      <c r="D250" s="4" t="s">
        <v>9</v>
      </c>
      <c r="E250" s="4" t="s">
        <v>16</v>
      </c>
      <c r="F250" s="4" t="s">
        <v>17</v>
      </c>
      <c r="G250" s="7">
        <v>380639805326.52</v>
      </c>
    </row>
    <row ht="12.8" outlineLevel="0" r="251" s="4" customFormat="1">
      <c r="A251" s="17">
        <v>44105</v>
      </c>
      <c r="B251" s="4" t="s">
        <v>29</v>
      </c>
      <c r="C251" s="4" t="s">
        <v>30</v>
      </c>
      <c r="D251" s="4" t="s">
        <v>31</v>
      </c>
      <c r="E251" s="4" t="s">
        <v>10</v>
      </c>
      <c r="F251" s="4" t="s">
        <v>11</v>
      </c>
      <c r="G251" s="7">
        <v>409567477446</v>
      </c>
    </row>
    <row ht="12.8" outlineLevel="0" r="252" s="4" customFormat="1">
      <c r="A252" s="17">
        <v>44105</v>
      </c>
      <c r="B252" s="4" t="s">
        <v>32</v>
      </c>
      <c r="C252" s="4" t="s">
        <v>33</v>
      </c>
      <c r="D252" s="4" t="s">
        <v>34</v>
      </c>
      <c r="E252" s="4" t="s">
        <v>10</v>
      </c>
      <c r="F252" s="4" t="s">
        <v>11</v>
      </c>
      <c r="G252" s="7">
        <v>44514135096.99</v>
      </c>
    </row>
    <row ht="12.8" outlineLevel="0" r="253" s="4" customFormat="1">
      <c r="A253" s="17">
        <v>44105</v>
      </c>
      <c r="B253" s="4" t="s">
        <v>13</v>
      </c>
      <c r="C253" s="4" t="s">
        <v>8</v>
      </c>
      <c r="D253" s="4" t="s">
        <v>9</v>
      </c>
      <c r="E253" s="4" t="s">
        <v>14</v>
      </c>
      <c r="F253" s="4" t="s">
        <v>15</v>
      </c>
      <c r="G253" s="7">
        <v>664818164004.445</v>
      </c>
    </row>
    <row ht="12.8" outlineLevel="0" r="254" s="4" customFormat="1">
      <c r="A254" s="17">
        <v>44105</v>
      </c>
      <c r="B254" s="4" t="s">
        <v>35</v>
      </c>
      <c r="C254" s="4" t="s">
        <v>36</v>
      </c>
      <c r="D254" s="4" t="s">
        <v>37</v>
      </c>
      <c r="E254" s="4" t="s">
        <v>14</v>
      </c>
      <c r="F254" s="4" t="s">
        <v>15</v>
      </c>
      <c r="G254" s="7">
        <v>121650855755.72</v>
      </c>
    </row>
    <row ht="12.8" outlineLevel="0" r="255" s="4" customFormat="1">
      <c r="A255" s="17">
        <v>44105</v>
      </c>
      <c r="B255" s="4" t="s">
        <v>13</v>
      </c>
      <c r="C255" s="4" t="s">
        <v>8</v>
      </c>
      <c r="D255" s="4" t="s">
        <v>9</v>
      </c>
      <c r="E255" s="4" t="s">
        <v>18</v>
      </c>
      <c r="F255" s="4" t="s">
        <v>19</v>
      </c>
      <c r="G255" s="7">
        <v>507071352759.974</v>
      </c>
    </row>
    <row ht="12.8" outlineLevel="0" r="256" s="4" customFormat="1">
      <c r="A256" s="17">
        <v>44105</v>
      </c>
      <c r="B256" s="4" t="s">
        <v>13</v>
      </c>
      <c r="C256" s="4" t="s">
        <v>8</v>
      </c>
      <c r="D256" s="4" t="s">
        <v>9</v>
      </c>
      <c r="E256" s="4" t="s">
        <v>16</v>
      </c>
      <c r="F256" s="4" t="s">
        <v>17</v>
      </c>
      <c r="G256" s="7">
        <v>512580996662.045</v>
      </c>
    </row>
    <row ht="12.8" outlineLevel="0" r="257" s="4" customFormat="1">
      <c r="A257" s="17">
        <v>44105</v>
      </c>
      <c r="B257" s="4" t="s">
        <v>32</v>
      </c>
      <c r="C257" s="4" t="s">
        <v>33</v>
      </c>
      <c r="D257" s="4" t="s">
        <v>34</v>
      </c>
      <c r="E257" s="4" t="s">
        <v>14</v>
      </c>
      <c r="F257" s="4" t="s">
        <v>15</v>
      </c>
      <c r="G257" s="7">
        <v>26731987578.1076</v>
      </c>
    </row>
    <row ht="12.8" outlineLevel="0" r="258" s="4" customFormat="1">
      <c r="A258" s="17">
        <v>44105</v>
      </c>
      <c r="B258" s="4" t="s">
        <v>32</v>
      </c>
      <c r="C258" s="4" t="s">
        <v>33</v>
      </c>
      <c r="D258" s="4" t="s">
        <v>34</v>
      </c>
      <c r="E258" s="4" t="s">
        <v>16</v>
      </c>
      <c r="F258" s="4" t="s">
        <v>17</v>
      </c>
      <c r="G258" s="7">
        <v>12463477183.0667</v>
      </c>
    </row>
    <row ht="12.8" outlineLevel="0" r="259" s="4" customFormat="1">
      <c r="A259" s="17">
        <v>44105</v>
      </c>
      <c r="B259" s="4" t="s">
        <v>32</v>
      </c>
      <c r="C259" s="4" t="s">
        <v>33</v>
      </c>
      <c r="D259" s="4" t="s">
        <v>34</v>
      </c>
      <c r="E259" s="4" t="s">
        <v>18</v>
      </c>
      <c r="F259" s="4" t="s">
        <v>19</v>
      </c>
      <c r="G259" s="7">
        <v>12072169312.0996</v>
      </c>
    </row>
    <row ht="12.8" outlineLevel="0" r="260" s="4" customFormat="1">
      <c r="A260" s="17">
        <v>44105</v>
      </c>
      <c r="B260" s="4" t="s">
        <v>35</v>
      </c>
      <c r="C260" s="4" t="s">
        <v>36</v>
      </c>
      <c r="D260" s="4" t="s">
        <v>37</v>
      </c>
      <c r="E260" s="4" t="s">
        <v>10</v>
      </c>
      <c r="F260" s="4" t="s">
        <v>11</v>
      </c>
      <c r="G260" s="7">
        <v>251286834278</v>
      </c>
    </row>
    <row ht="12.8" outlineLevel="0" r="261" s="4" customFormat="1">
      <c r="A261" s="17">
        <v>44105</v>
      </c>
      <c r="B261" s="4" t="s">
        <v>22</v>
      </c>
      <c r="C261" s="4" t="s">
        <v>23</v>
      </c>
      <c r="D261" s="4" t="s">
        <v>24</v>
      </c>
      <c r="E261" s="4" t="s">
        <v>14</v>
      </c>
      <c r="F261" s="4" t="s">
        <v>15</v>
      </c>
      <c r="G261" s="7">
        <v>311618082441.96</v>
      </c>
    </row>
    <row ht="12.8" outlineLevel="0" r="262" s="4" customFormat="1">
      <c r="A262" s="17">
        <v>44105</v>
      </c>
      <c r="B262" s="4" t="s">
        <v>35</v>
      </c>
      <c r="C262" s="4" t="s">
        <v>36</v>
      </c>
      <c r="D262" s="4" t="s">
        <v>37</v>
      </c>
      <c r="E262" s="4" t="s">
        <v>16</v>
      </c>
      <c r="F262" s="4" t="s">
        <v>17</v>
      </c>
      <c r="G262" s="7">
        <v>99480681543.09</v>
      </c>
    </row>
    <row ht="12.8" outlineLevel="0" r="263" s="4" customFormat="1">
      <c r="A263" s="17">
        <v>44105</v>
      </c>
      <c r="B263" s="4" t="s">
        <v>29</v>
      </c>
      <c r="C263" s="4" t="s">
        <v>30</v>
      </c>
      <c r="D263" s="4" t="s">
        <v>31</v>
      </c>
      <c r="E263" s="4" t="s">
        <v>14</v>
      </c>
      <c r="F263" s="4" t="s">
        <v>15</v>
      </c>
      <c r="G263" s="7">
        <v>326460646752.32</v>
      </c>
    </row>
    <row ht="12.8" outlineLevel="0" r="264" s="4" customFormat="1">
      <c r="A264" s="17">
        <v>44105</v>
      </c>
      <c r="B264" s="4" t="s">
        <v>22</v>
      </c>
      <c r="C264" s="4" t="s">
        <v>23</v>
      </c>
      <c r="D264" s="4" t="s">
        <v>24</v>
      </c>
      <c r="E264" s="4" t="s">
        <v>10</v>
      </c>
      <c r="F264" s="4" t="s">
        <v>11</v>
      </c>
      <c r="G264" s="7">
        <v>420798827154.61</v>
      </c>
    </row>
    <row ht="12.8" outlineLevel="0" r="265" s="4" customFormat="1">
      <c r="A265" s="17">
        <v>44105</v>
      </c>
      <c r="B265" s="4" t="s">
        <v>35</v>
      </c>
      <c r="C265" s="4" t="s">
        <v>36</v>
      </c>
      <c r="D265" s="4" t="s">
        <v>37</v>
      </c>
      <c r="E265" s="4" t="s">
        <v>18</v>
      </c>
      <c r="F265" s="4" t="s">
        <v>19</v>
      </c>
      <c r="G265" s="7">
        <v>99462325807.56</v>
      </c>
    </row>
    <row ht="12.8" outlineLevel="0" r="266" s="4" customFormat="1">
      <c r="A266" s="17">
        <v>44105</v>
      </c>
      <c r="B266" s="4" t="s">
        <v>22</v>
      </c>
      <c r="C266" s="4" t="s">
        <v>23</v>
      </c>
      <c r="D266" s="4" t="s">
        <v>24</v>
      </c>
      <c r="E266" s="4" t="s">
        <v>16</v>
      </c>
      <c r="F266" s="4" t="s">
        <v>17</v>
      </c>
      <c r="G266" s="7">
        <v>311447738228.76</v>
      </c>
    </row>
    <row ht="12.8" outlineLevel="0" r="267" s="4" customFormat="1">
      <c r="A267" s="17">
        <v>44105</v>
      </c>
      <c r="B267" s="4" t="s">
        <v>22</v>
      </c>
      <c r="C267" s="4" t="s">
        <v>23</v>
      </c>
      <c r="D267" s="4" t="s">
        <v>24</v>
      </c>
      <c r="E267" s="4" t="s">
        <v>18</v>
      </c>
      <c r="F267" s="4" t="s">
        <v>19</v>
      </c>
      <c r="G267" s="7">
        <v>311447738228.76</v>
      </c>
    </row>
    <row ht="12.8" outlineLevel="0" r="268" s="4" customFormat="1">
      <c r="A268" s="17">
        <v>44105</v>
      </c>
      <c r="B268" s="4" t="s">
        <v>25</v>
      </c>
      <c r="C268" s="4" t="s">
        <v>23</v>
      </c>
      <c r="D268" s="4" t="s">
        <v>24</v>
      </c>
      <c r="E268" s="4" t="s">
        <v>10</v>
      </c>
      <c r="F268" s="4" t="s">
        <v>11</v>
      </c>
      <c r="G268" s="7">
        <v>772282934953.39</v>
      </c>
    </row>
    <row ht="12.8" outlineLevel="0" r="269" s="4" customFormat="1">
      <c r="A269" s="17">
        <v>44105</v>
      </c>
      <c r="B269" s="4" t="s">
        <v>25</v>
      </c>
      <c r="C269" s="4" t="s">
        <v>23</v>
      </c>
      <c r="D269" s="4" t="s">
        <v>24</v>
      </c>
      <c r="E269" s="4" t="s">
        <v>14</v>
      </c>
      <c r="F269" s="4" t="s">
        <v>15</v>
      </c>
      <c r="G269" s="7">
        <v>717865934108.51</v>
      </c>
    </row>
    <row ht="12.8" outlineLevel="0" r="270" s="4" customFormat="1">
      <c r="A270" s="17">
        <v>44075</v>
      </c>
      <c r="B270" s="4" t="s">
        <v>32</v>
      </c>
      <c r="C270" s="4" t="s">
        <v>33</v>
      </c>
      <c r="D270" s="4" t="s">
        <v>34</v>
      </c>
      <c r="E270" s="4" t="s">
        <v>18</v>
      </c>
      <c r="F270" s="4" t="s">
        <v>19</v>
      </c>
      <c r="G270" s="7">
        <v>10475970908.4023</v>
      </c>
    </row>
    <row ht="12.8" outlineLevel="0" r="271" s="4" customFormat="1">
      <c r="A271" s="17">
        <v>44075</v>
      </c>
      <c r="B271" s="4" t="s">
        <v>22</v>
      </c>
      <c r="C271" s="4" t="s">
        <v>23</v>
      </c>
      <c r="D271" s="4" t="s">
        <v>24</v>
      </c>
      <c r="E271" s="4" t="s">
        <v>14</v>
      </c>
      <c r="F271" s="4" t="s">
        <v>15</v>
      </c>
      <c r="G271" s="7">
        <v>267543746130.72</v>
      </c>
    </row>
    <row ht="12.8" outlineLevel="0" r="272" s="4" customFormat="1">
      <c r="A272" s="17">
        <v>44075</v>
      </c>
      <c r="B272" s="4" t="s">
        <v>13</v>
      </c>
      <c r="C272" s="4" t="s">
        <v>8</v>
      </c>
      <c r="D272" s="4" t="s">
        <v>9</v>
      </c>
      <c r="E272" s="4" t="s">
        <v>16</v>
      </c>
      <c r="F272" s="4" t="s">
        <v>17</v>
      </c>
      <c r="G272" s="7">
        <v>466208800506.73</v>
      </c>
    </row>
    <row ht="12.8" outlineLevel="0" r="273" s="4" customFormat="1">
      <c r="A273" s="17">
        <v>44075</v>
      </c>
      <c r="B273" s="4" t="s">
        <v>13</v>
      </c>
      <c r="C273" s="4" t="s">
        <v>8</v>
      </c>
      <c r="D273" s="4" t="s">
        <v>9</v>
      </c>
      <c r="E273" s="4" t="s">
        <v>14</v>
      </c>
      <c r="F273" s="4" t="s">
        <v>15</v>
      </c>
      <c r="G273" s="7">
        <v>604088107035.085</v>
      </c>
    </row>
    <row ht="12.8" outlineLevel="0" r="274" s="4" customFormat="1">
      <c r="A274" s="17">
        <v>44075</v>
      </c>
      <c r="B274" s="4" t="s">
        <v>22</v>
      </c>
      <c r="C274" s="4" t="s">
        <v>23</v>
      </c>
      <c r="D274" s="4" t="s">
        <v>24</v>
      </c>
      <c r="E274" s="4" t="s">
        <v>10</v>
      </c>
      <c r="F274" s="4" t="s">
        <v>11</v>
      </c>
      <c r="G274" s="7">
        <v>435798827154.61</v>
      </c>
    </row>
    <row ht="12.8" outlineLevel="0" r="275" s="4" customFormat="1">
      <c r="A275" s="17">
        <v>44075</v>
      </c>
      <c r="B275" s="4" t="s">
        <v>35</v>
      </c>
      <c r="C275" s="4" t="s">
        <v>36</v>
      </c>
      <c r="D275" s="4" t="s">
        <v>37</v>
      </c>
      <c r="E275" s="4" t="s">
        <v>14</v>
      </c>
      <c r="F275" s="4" t="s">
        <v>15</v>
      </c>
      <c r="G275" s="7">
        <v>126658486469.88</v>
      </c>
    </row>
    <row ht="12.8" outlineLevel="0" r="276" s="4" customFormat="1">
      <c r="A276" s="17">
        <v>44075</v>
      </c>
      <c r="B276" s="4" t="s">
        <v>35</v>
      </c>
      <c r="C276" s="4" t="s">
        <v>36</v>
      </c>
      <c r="D276" s="4" t="s">
        <v>37</v>
      </c>
      <c r="E276" s="4" t="s">
        <v>10</v>
      </c>
      <c r="F276" s="4" t="s">
        <v>11</v>
      </c>
      <c r="G276" s="7">
        <v>251287509198</v>
      </c>
    </row>
    <row ht="12.8" outlineLevel="0" r="277" s="4" customFormat="1">
      <c r="A277" s="17">
        <v>44075</v>
      </c>
      <c r="B277" s="4" t="s">
        <v>22</v>
      </c>
      <c r="C277" s="4" t="s">
        <v>23</v>
      </c>
      <c r="D277" s="4" t="s">
        <v>24</v>
      </c>
      <c r="E277" s="4" t="s">
        <v>18</v>
      </c>
      <c r="F277" s="4" t="s">
        <v>19</v>
      </c>
      <c r="G277" s="7">
        <v>267455639733.93</v>
      </c>
    </row>
    <row ht="12.8" outlineLevel="0" r="278" s="4" customFormat="1">
      <c r="A278" s="17">
        <v>44075</v>
      </c>
      <c r="B278" s="4" t="s">
        <v>22</v>
      </c>
      <c r="C278" s="4" t="s">
        <v>23</v>
      </c>
      <c r="D278" s="4" t="s">
        <v>24</v>
      </c>
      <c r="E278" s="4" t="s">
        <v>16</v>
      </c>
      <c r="F278" s="4" t="s">
        <v>17</v>
      </c>
      <c r="G278" s="7">
        <v>267455639733.93</v>
      </c>
    </row>
    <row ht="12.8" outlineLevel="0" r="279" s="4" customFormat="1">
      <c r="A279" s="17">
        <v>44075</v>
      </c>
      <c r="B279" s="4" t="s">
        <v>25</v>
      </c>
      <c r="C279" s="4" t="s">
        <v>23</v>
      </c>
      <c r="D279" s="4" t="s">
        <v>24</v>
      </c>
      <c r="E279" s="4" t="s">
        <v>16</v>
      </c>
      <c r="F279" s="4" t="s">
        <v>17</v>
      </c>
      <c r="G279" s="7">
        <v>629872438887.44</v>
      </c>
    </row>
    <row ht="12.8" outlineLevel="0" r="280" s="4" customFormat="1">
      <c r="A280" s="17">
        <v>44075</v>
      </c>
      <c r="B280" s="4" t="s">
        <v>32</v>
      </c>
      <c r="C280" s="4" t="s">
        <v>33</v>
      </c>
      <c r="D280" s="4" t="s">
        <v>34</v>
      </c>
      <c r="E280" s="4" t="s">
        <v>10</v>
      </c>
      <c r="F280" s="4" t="s">
        <v>11</v>
      </c>
      <c r="G280" s="7">
        <v>43680428507</v>
      </c>
    </row>
    <row ht="12.8" outlineLevel="0" r="281" s="4" customFormat="1">
      <c r="A281" s="17">
        <v>44075</v>
      </c>
      <c r="B281" s="4" t="s">
        <v>25</v>
      </c>
      <c r="C281" s="4" t="s">
        <v>23</v>
      </c>
      <c r="D281" s="4" t="s">
        <v>24</v>
      </c>
      <c r="E281" s="4" t="s">
        <v>18</v>
      </c>
      <c r="F281" s="4" t="s">
        <v>19</v>
      </c>
      <c r="G281" s="7">
        <v>629872438887.44</v>
      </c>
    </row>
    <row ht="12.8" outlineLevel="0" r="282" s="4" customFormat="1">
      <c r="A282" s="17">
        <v>44075</v>
      </c>
      <c r="B282" s="4" t="s">
        <v>38</v>
      </c>
      <c r="C282" s="4" t="s">
        <v>39</v>
      </c>
      <c r="D282" s="4" t="s">
        <v>40</v>
      </c>
      <c r="E282" s="4" t="s">
        <v>10</v>
      </c>
      <c r="F282" s="4" t="s">
        <v>11</v>
      </c>
      <c r="G282" s="7">
        <v>33476172581</v>
      </c>
    </row>
    <row ht="12.8" outlineLevel="0" r="283" s="4" customFormat="1">
      <c r="A283" s="17">
        <v>44075</v>
      </c>
      <c r="B283" s="4" t="s">
        <v>13</v>
      </c>
      <c r="C283" s="4" t="s">
        <v>8</v>
      </c>
      <c r="D283" s="4" t="s">
        <v>9</v>
      </c>
      <c r="E283" s="4" t="s">
        <v>18</v>
      </c>
      <c r="F283" s="4" t="s">
        <v>19</v>
      </c>
      <c r="G283" s="7">
        <v>460562458424.365</v>
      </c>
    </row>
    <row ht="12.8" outlineLevel="0" r="284" s="4" customFormat="1">
      <c r="A284" s="17">
        <v>44075</v>
      </c>
      <c r="B284" s="4" t="s">
        <v>13</v>
      </c>
      <c r="C284" s="4" t="s">
        <v>8</v>
      </c>
      <c r="D284" s="4" t="s">
        <v>9</v>
      </c>
      <c r="E284" s="4" t="s">
        <v>10</v>
      </c>
      <c r="F284" s="4" t="s">
        <v>11</v>
      </c>
      <c r="G284" s="7">
        <v>708786254225.81</v>
      </c>
    </row>
    <row ht="12.8" outlineLevel="0" r="285" s="4" customFormat="1">
      <c r="A285" s="17">
        <v>44075</v>
      </c>
      <c r="B285" s="4" t="s">
        <v>12</v>
      </c>
      <c r="C285" s="4" t="s">
        <v>8</v>
      </c>
      <c r="D285" s="4" t="s">
        <v>9</v>
      </c>
      <c r="E285" s="4" t="s">
        <v>18</v>
      </c>
      <c r="F285" s="4" t="s">
        <v>19</v>
      </c>
      <c r="G285" s="7">
        <v>473242472509.13</v>
      </c>
    </row>
    <row ht="12.8" outlineLevel="0" r="286" s="4" customFormat="1">
      <c r="A286" s="17">
        <v>44075</v>
      </c>
      <c r="B286" s="4" t="s">
        <v>32</v>
      </c>
      <c r="C286" s="4" t="s">
        <v>33</v>
      </c>
      <c r="D286" s="4" t="s">
        <v>34</v>
      </c>
      <c r="E286" s="4" t="s">
        <v>16</v>
      </c>
      <c r="F286" s="4" t="s">
        <v>17</v>
      </c>
      <c r="G286" s="7">
        <v>10758628154.0123</v>
      </c>
    </row>
    <row ht="12.8" outlineLevel="0" r="287" s="4" customFormat="1">
      <c r="A287" s="17">
        <v>44075</v>
      </c>
      <c r="B287" s="4" t="s">
        <v>32</v>
      </c>
      <c r="C287" s="4" t="s">
        <v>33</v>
      </c>
      <c r="D287" s="4" t="s">
        <v>34</v>
      </c>
      <c r="E287" s="4" t="s">
        <v>14</v>
      </c>
      <c r="F287" s="4" t="s">
        <v>15</v>
      </c>
      <c r="G287" s="7">
        <v>25617415527.1448</v>
      </c>
    </row>
    <row ht="12.8" outlineLevel="0" r="288" s="4" customFormat="1">
      <c r="A288" s="17">
        <v>44075</v>
      </c>
      <c r="B288" s="4" t="s">
        <v>35</v>
      </c>
      <c r="C288" s="4" t="s">
        <v>36</v>
      </c>
      <c r="D288" s="4" t="s">
        <v>37</v>
      </c>
      <c r="E288" s="4" t="s">
        <v>18</v>
      </c>
      <c r="F288" s="4" t="s">
        <v>19</v>
      </c>
      <c r="G288" s="7">
        <v>96347416316.36</v>
      </c>
    </row>
    <row ht="12.8" outlineLevel="0" r="289" s="4" customFormat="1">
      <c r="A289" s="17">
        <v>44075</v>
      </c>
      <c r="B289" s="4" t="s">
        <v>7</v>
      </c>
      <c r="C289" s="4" t="s">
        <v>8</v>
      </c>
      <c r="D289" s="4" t="s">
        <v>9</v>
      </c>
      <c r="E289" s="4" t="s">
        <v>18</v>
      </c>
      <c r="F289" s="4" t="s">
        <v>19</v>
      </c>
      <c r="G289" s="7">
        <v>348759535605.28</v>
      </c>
    </row>
    <row ht="12.8" outlineLevel="0" r="290" s="4" customFormat="1">
      <c r="A290" s="17">
        <v>44075</v>
      </c>
      <c r="B290" s="4" t="s">
        <v>12</v>
      </c>
      <c r="C290" s="4" t="s">
        <v>8</v>
      </c>
      <c r="D290" s="4" t="s">
        <v>9</v>
      </c>
      <c r="E290" s="4" t="s">
        <v>16</v>
      </c>
      <c r="F290" s="4" t="s">
        <v>17</v>
      </c>
      <c r="G290" s="7">
        <v>512480548247.48</v>
      </c>
    </row>
    <row ht="12.8" outlineLevel="0" r="291" s="4" customFormat="1">
      <c r="A291" s="17">
        <v>44075</v>
      </c>
      <c r="B291" s="4" t="s">
        <v>29</v>
      </c>
      <c r="C291" s="4" t="s">
        <v>30</v>
      </c>
      <c r="D291" s="4" t="s">
        <v>31</v>
      </c>
      <c r="E291" s="4" t="s">
        <v>16</v>
      </c>
      <c r="F291" s="4" t="s">
        <v>17</v>
      </c>
      <c r="G291" s="7">
        <v>311287875741.23</v>
      </c>
    </row>
    <row ht="12.8" outlineLevel="0" r="292" s="4" customFormat="1">
      <c r="A292" s="17">
        <v>44075</v>
      </c>
      <c r="B292" s="4" t="s">
        <v>12</v>
      </c>
      <c r="C292" s="4" t="s">
        <v>8</v>
      </c>
      <c r="D292" s="4" t="s">
        <v>9</v>
      </c>
      <c r="E292" s="4" t="s">
        <v>10</v>
      </c>
      <c r="F292" s="4" t="s">
        <v>11</v>
      </c>
      <c r="G292" s="7">
        <v>678073398650</v>
      </c>
    </row>
    <row ht="12.8" outlineLevel="0" r="293" s="4" customFormat="1">
      <c r="A293" s="17">
        <v>44075</v>
      </c>
      <c r="B293" s="4" t="s">
        <v>12</v>
      </c>
      <c r="C293" s="4" t="s">
        <v>8</v>
      </c>
      <c r="D293" s="4" t="s">
        <v>9</v>
      </c>
      <c r="E293" s="4" t="s">
        <v>14</v>
      </c>
      <c r="F293" s="4" t="s">
        <v>15</v>
      </c>
      <c r="G293" s="7">
        <v>670261767958.05</v>
      </c>
    </row>
    <row ht="12.8" outlineLevel="0" r="294" s="4" customFormat="1">
      <c r="A294" s="17">
        <v>44075</v>
      </c>
      <c r="B294" s="4" t="s">
        <v>7</v>
      </c>
      <c r="C294" s="4" t="s">
        <v>8</v>
      </c>
      <c r="D294" s="4" t="s">
        <v>9</v>
      </c>
      <c r="E294" s="4" t="s">
        <v>16</v>
      </c>
      <c r="F294" s="4" t="s">
        <v>17</v>
      </c>
      <c r="G294" s="7">
        <v>348825336797.01</v>
      </c>
    </row>
    <row ht="12.8" outlineLevel="0" r="295" s="4" customFormat="1">
      <c r="A295" s="17">
        <v>44075</v>
      </c>
      <c r="B295" s="4" t="s">
        <v>7</v>
      </c>
      <c r="C295" s="4" t="s">
        <v>8</v>
      </c>
      <c r="D295" s="4" t="s">
        <v>9</v>
      </c>
      <c r="E295" s="4" t="s">
        <v>14</v>
      </c>
      <c r="F295" s="4" t="s">
        <v>15</v>
      </c>
      <c r="G295" s="7">
        <v>459498718539.89</v>
      </c>
    </row>
    <row ht="12.8" outlineLevel="0" r="296" s="4" customFormat="1">
      <c r="A296" s="17">
        <v>44075</v>
      </c>
      <c r="B296" s="4" t="s">
        <v>7</v>
      </c>
      <c r="C296" s="4" t="s">
        <v>8</v>
      </c>
      <c r="D296" s="4" t="s">
        <v>9</v>
      </c>
      <c r="E296" s="4" t="s">
        <v>10</v>
      </c>
      <c r="F296" s="4" t="s">
        <v>11</v>
      </c>
      <c r="G296" s="7">
        <v>499863331667.47</v>
      </c>
    </row>
    <row ht="12.8" outlineLevel="0" r="297" s="4" customFormat="1">
      <c r="A297" s="17">
        <v>44075</v>
      </c>
      <c r="B297" s="4" t="s">
        <v>29</v>
      </c>
      <c r="C297" s="4" t="s">
        <v>30</v>
      </c>
      <c r="D297" s="4" t="s">
        <v>31</v>
      </c>
      <c r="E297" s="4" t="s">
        <v>18</v>
      </c>
      <c r="F297" s="4" t="s">
        <v>19</v>
      </c>
      <c r="G297" s="7">
        <v>311287875741.23</v>
      </c>
    </row>
    <row ht="12.8" outlineLevel="0" r="298" s="4" customFormat="1">
      <c r="A298" s="17">
        <v>44075</v>
      </c>
      <c r="B298" s="4" t="s">
        <v>26</v>
      </c>
      <c r="C298" s="4" t="s">
        <v>27</v>
      </c>
      <c r="D298" s="4" t="s">
        <v>28</v>
      </c>
      <c r="E298" s="4" t="s">
        <v>16</v>
      </c>
      <c r="F298" s="4" t="s">
        <v>17</v>
      </c>
      <c r="G298" s="7">
        <v>246859777035.142</v>
      </c>
    </row>
    <row ht="12.8" outlineLevel="0" r="299" s="4" customFormat="1">
      <c r="A299" s="17">
        <v>44075</v>
      </c>
      <c r="B299" s="4" t="s">
        <v>29</v>
      </c>
      <c r="C299" s="4" t="s">
        <v>30</v>
      </c>
      <c r="D299" s="4" t="s">
        <v>31</v>
      </c>
      <c r="E299" s="4" t="s">
        <v>14</v>
      </c>
      <c r="F299" s="4" t="s">
        <v>15</v>
      </c>
      <c r="G299" s="7">
        <v>318786769849.37</v>
      </c>
    </row>
    <row ht="12.8" outlineLevel="0" r="300" s="4" customFormat="1">
      <c r="A300" s="17">
        <v>44075</v>
      </c>
      <c r="B300" s="4" t="s">
        <v>35</v>
      </c>
      <c r="C300" s="4" t="s">
        <v>36</v>
      </c>
      <c r="D300" s="4" t="s">
        <v>37</v>
      </c>
      <c r="E300" s="4" t="s">
        <v>16</v>
      </c>
      <c r="F300" s="4" t="s">
        <v>17</v>
      </c>
      <c r="G300" s="7">
        <v>96353621797.24</v>
      </c>
    </row>
    <row ht="12.8" outlineLevel="0" r="301" s="4" customFormat="1">
      <c r="A301" s="17">
        <v>44075</v>
      </c>
      <c r="B301" s="4" t="s">
        <v>26</v>
      </c>
      <c r="C301" s="4" t="s">
        <v>27</v>
      </c>
      <c r="D301" s="4" t="s">
        <v>28</v>
      </c>
      <c r="E301" s="4" t="s">
        <v>18</v>
      </c>
      <c r="F301" s="4" t="s">
        <v>19</v>
      </c>
      <c r="G301" s="7">
        <v>230561629201.662</v>
      </c>
    </row>
    <row ht="12.8" outlineLevel="0" r="302" s="4" customFormat="1">
      <c r="A302" s="17">
        <v>44075</v>
      </c>
      <c r="B302" s="4" t="s">
        <v>29</v>
      </c>
      <c r="C302" s="4" t="s">
        <v>30</v>
      </c>
      <c r="D302" s="4" t="s">
        <v>31</v>
      </c>
      <c r="E302" s="4" t="s">
        <v>10</v>
      </c>
      <c r="F302" s="4" t="s">
        <v>11</v>
      </c>
      <c r="G302" s="7">
        <v>409567477446</v>
      </c>
    </row>
    <row ht="12.8" outlineLevel="0" r="303" s="4" customFormat="1">
      <c r="A303" s="17">
        <v>44075</v>
      </c>
      <c r="B303" s="4" t="s">
        <v>26</v>
      </c>
      <c r="C303" s="4" t="s">
        <v>27</v>
      </c>
      <c r="D303" s="4" t="s">
        <v>28</v>
      </c>
      <c r="E303" s="4" t="s">
        <v>14</v>
      </c>
      <c r="F303" s="4" t="s">
        <v>15</v>
      </c>
      <c r="G303" s="7">
        <v>304507295071.547</v>
      </c>
    </row>
    <row ht="12.8" outlineLevel="0" r="304" s="4" customFormat="1">
      <c r="A304" s="17">
        <v>44075</v>
      </c>
      <c r="B304" s="4" t="s">
        <v>26</v>
      </c>
      <c r="C304" s="4" t="s">
        <v>27</v>
      </c>
      <c r="D304" s="4" t="s">
        <v>28</v>
      </c>
      <c r="E304" s="4" t="s">
        <v>10</v>
      </c>
      <c r="F304" s="4" t="s">
        <v>11</v>
      </c>
      <c r="G304" s="7">
        <v>344741984789</v>
      </c>
    </row>
    <row ht="12.8" outlineLevel="0" r="305" s="4" customFormat="1">
      <c r="A305" s="17">
        <v>44075</v>
      </c>
      <c r="B305" s="4" t="s">
        <v>25</v>
      </c>
      <c r="C305" s="4" t="s">
        <v>23</v>
      </c>
      <c r="D305" s="4" t="s">
        <v>24</v>
      </c>
      <c r="E305" s="4" t="s">
        <v>10</v>
      </c>
      <c r="F305" s="4" t="s">
        <v>11</v>
      </c>
      <c r="G305" s="7">
        <v>757282934953.39</v>
      </c>
    </row>
    <row ht="12.8" outlineLevel="0" r="306" s="4" customFormat="1">
      <c r="A306" s="17">
        <v>44075</v>
      </c>
      <c r="B306" s="4" t="s">
        <v>25</v>
      </c>
      <c r="C306" s="4" t="s">
        <v>23</v>
      </c>
      <c r="D306" s="4" t="s">
        <v>24</v>
      </c>
      <c r="E306" s="4" t="s">
        <v>14</v>
      </c>
      <c r="F306" s="4" t="s">
        <v>15</v>
      </c>
      <c r="G306" s="7">
        <v>644498706176.25</v>
      </c>
    </row>
    <row ht="12.8" outlineLevel="0" r="307" s="4" customFormat="1">
      <c r="A307" s="17">
        <v>44044</v>
      </c>
      <c r="B307" s="4" t="s">
        <v>26</v>
      </c>
      <c r="C307" s="4" t="s">
        <v>27</v>
      </c>
      <c r="D307" s="4" t="s">
        <v>28</v>
      </c>
      <c r="E307" s="4" t="s">
        <v>10</v>
      </c>
      <c r="F307" s="4" t="s">
        <v>11</v>
      </c>
      <c r="G307" s="7">
        <v>345145370208</v>
      </c>
    </row>
    <row ht="12.8" outlineLevel="0" r="308" s="4" customFormat="1">
      <c r="A308" s="17">
        <v>44044</v>
      </c>
      <c r="B308" s="4" t="s">
        <v>26</v>
      </c>
      <c r="C308" s="4" t="s">
        <v>27</v>
      </c>
      <c r="D308" s="4" t="s">
        <v>28</v>
      </c>
      <c r="E308" s="4" t="s">
        <v>14</v>
      </c>
      <c r="F308" s="4" t="s">
        <v>15</v>
      </c>
      <c r="G308" s="7">
        <v>291928155173.974</v>
      </c>
    </row>
    <row ht="12.8" outlineLevel="0" r="309" s="4" customFormat="1">
      <c r="A309" s="17">
        <v>44044</v>
      </c>
      <c r="B309" s="4" t="s">
        <v>26</v>
      </c>
      <c r="C309" s="4" t="s">
        <v>27</v>
      </c>
      <c r="D309" s="4" t="s">
        <v>28</v>
      </c>
      <c r="E309" s="4" t="s">
        <v>16</v>
      </c>
      <c r="F309" s="4" t="s">
        <v>17</v>
      </c>
      <c r="G309" s="7">
        <v>220584343704.252</v>
      </c>
    </row>
    <row ht="12.8" outlineLevel="0" r="310" s="4" customFormat="1">
      <c r="A310" s="17">
        <v>44044</v>
      </c>
      <c r="B310" s="4" t="s">
        <v>26</v>
      </c>
      <c r="C310" s="4" t="s">
        <v>27</v>
      </c>
      <c r="D310" s="4" t="s">
        <v>28</v>
      </c>
      <c r="E310" s="4" t="s">
        <v>18</v>
      </c>
      <c r="F310" s="4" t="s">
        <v>19</v>
      </c>
      <c r="G310" s="7">
        <v>204312312278.962</v>
      </c>
    </row>
    <row ht="12.8" outlineLevel="0" r="311" s="4" customFormat="1">
      <c r="A311" s="17">
        <v>44044</v>
      </c>
      <c r="B311" s="4" t="s">
        <v>29</v>
      </c>
      <c r="C311" s="4" t="s">
        <v>30</v>
      </c>
      <c r="D311" s="4" t="s">
        <v>31</v>
      </c>
      <c r="E311" s="4" t="s">
        <v>10</v>
      </c>
      <c r="F311" s="4" t="s">
        <v>11</v>
      </c>
      <c r="G311" s="7">
        <v>409568014446</v>
      </c>
    </row>
    <row ht="12.8" outlineLevel="0" r="312" s="4" customFormat="1">
      <c r="A312" s="17">
        <v>44044</v>
      </c>
      <c r="B312" s="4" t="s">
        <v>29</v>
      </c>
      <c r="C312" s="4" t="s">
        <v>30</v>
      </c>
      <c r="D312" s="4" t="s">
        <v>31</v>
      </c>
      <c r="E312" s="4" t="s">
        <v>14</v>
      </c>
      <c r="F312" s="4" t="s">
        <v>15</v>
      </c>
      <c r="G312" s="7">
        <v>301955192526.75</v>
      </c>
    </row>
    <row ht="12.8" outlineLevel="0" r="313" s="4" customFormat="1">
      <c r="A313" s="17">
        <v>44044</v>
      </c>
      <c r="B313" s="4" t="s">
        <v>29</v>
      </c>
      <c r="C313" s="4" t="s">
        <v>30</v>
      </c>
      <c r="D313" s="4" t="s">
        <v>31</v>
      </c>
      <c r="E313" s="4" t="s">
        <v>16</v>
      </c>
      <c r="F313" s="4" t="s">
        <v>17</v>
      </c>
      <c r="G313" s="7">
        <v>284339905330.89</v>
      </c>
    </row>
    <row ht="12.8" outlineLevel="0" r="314" s="4" customFormat="1">
      <c r="A314" s="17">
        <v>44044</v>
      </c>
      <c r="B314" s="4" t="s">
        <v>29</v>
      </c>
      <c r="C314" s="4" t="s">
        <v>30</v>
      </c>
      <c r="D314" s="4" t="s">
        <v>31</v>
      </c>
      <c r="E314" s="4" t="s">
        <v>18</v>
      </c>
      <c r="F314" s="4" t="s">
        <v>19</v>
      </c>
      <c r="G314" s="7">
        <v>284339905330.89</v>
      </c>
    </row>
    <row ht="12.8" outlineLevel="0" r="315" s="4" customFormat="1">
      <c r="A315" s="17">
        <v>44044</v>
      </c>
      <c r="B315" s="4" t="s">
        <v>7</v>
      </c>
      <c r="C315" s="4" t="s">
        <v>8</v>
      </c>
      <c r="D315" s="4" t="s">
        <v>9</v>
      </c>
      <c r="E315" s="4" t="s">
        <v>10</v>
      </c>
      <c r="F315" s="4" t="s">
        <v>11</v>
      </c>
      <c r="G315" s="7">
        <v>499769589238.59</v>
      </c>
    </row>
    <row ht="12.8" outlineLevel="0" r="316" s="4" customFormat="1">
      <c r="A316" s="17">
        <v>44044</v>
      </c>
      <c r="B316" s="4" t="s">
        <v>7</v>
      </c>
      <c r="C316" s="4" t="s">
        <v>8</v>
      </c>
      <c r="D316" s="4" t="s">
        <v>9</v>
      </c>
      <c r="E316" s="4" t="s">
        <v>14</v>
      </c>
      <c r="F316" s="4" t="s">
        <v>15</v>
      </c>
      <c r="G316" s="7">
        <v>448209549886.12</v>
      </c>
    </row>
    <row ht="12.8" outlineLevel="0" r="317" s="4" customFormat="1">
      <c r="A317" s="17">
        <v>44044</v>
      </c>
      <c r="B317" s="4" t="s">
        <v>7</v>
      </c>
      <c r="C317" s="4" t="s">
        <v>8</v>
      </c>
      <c r="D317" s="4" t="s">
        <v>9</v>
      </c>
      <c r="E317" s="4" t="s">
        <v>16</v>
      </c>
      <c r="F317" s="4" t="s">
        <v>17</v>
      </c>
      <c r="G317" s="7">
        <v>304243540770.75</v>
      </c>
    </row>
    <row ht="12.8" outlineLevel="0" r="318" s="4" customFormat="1">
      <c r="A318" s="17">
        <v>44044</v>
      </c>
      <c r="B318" s="4" t="s">
        <v>7</v>
      </c>
      <c r="C318" s="4" t="s">
        <v>8</v>
      </c>
      <c r="D318" s="4" t="s">
        <v>9</v>
      </c>
      <c r="E318" s="4" t="s">
        <v>18</v>
      </c>
      <c r="F318" s="4" t="s">
        <v>19</v>
      </c>
      <c r="G318" s="7">
        <v>304151421716.33</v>
      </c>
    </row>
    <row ht="12.8" outlineLevel="0" r="319" s="4" customFormat="1">
      <c r="A319" s="17">
        <v>44044</v>
      </c>
      <c r="B319" s="4" t="s">
        <v>12</v>
      </c>
      <c r="C319" s="4" t="s">
        <v>8</v>
      </c>
      <c r="D319" s="4" t="s">
        <v>9</v>
      </c>
      <c r="E319" s="4" t="s">
        <v>10</v>
      </c>
      <c r="F319" s="4" t="s">
        <v>11</v>
      </c>
      <c r="G319" s="7">
        <v>677698670758</v>
      </c>
    </row>
    <row ht="12.8" outlineLevel="0" r="320" s="4" customFormat="1">
      <c r="A320" s="17">
        <v>44044</v>
      </c>
      <c r="B320" s="4" t="s">
        <v>12</v>
      </c>
      <c r="C320" s="4" t="s">
        <v>8</v>
      </c>
      <c r="D320" s="4" t="s">
        <v>9</v>
      </c>
      <c r="E320" s="4" t="s">
        <v>14</v>
      </c>
      <c r="F320" s="4" t="s">
        <v>15</v>
      </c>
      <c r="G320" s="7">
        <v>669309914164.1</v>
      </c>
    </row>
    <row ht="12.8" outlineLevel="0" r="321" s="4" customFormat="1">
      <c r="A321" s="17">
        <v>44044</v>
      </c>
      <c r="B321" s="4" t="s">
        <v>12</v>
      </c>
      <c r="C321" s="4" t="s">
        <v>8</v>
      </c>
      <c r="D321" s="4" t="s">
        <v>9</v>
      </c>
      <c r="E321" s="4" t="s">
        <v>16</v>
      </c>
      <c r="F321" s="4" t="s">
        <v>17</v>
      </c>
      <c r="G321" s="7">
        <v>461670400134.05</v>
      </c>
    </row>
    <row ht="12.8" outlineLevel="0" r="322" s="4" customFormat="1">
      <c r="A322" s="17">
        <v>44044</v>
      </c>
      <c r="B322" s="4" t="s">
        <v>12</v>
      </c>
      <c r="C322" s="4" t="s">
        <v>8</v>
      </c>
      <c r="D322" s="4" t="s">
        <v>9</v>
      </c>
      <c r="E322" s="4" t="s">
        <v>18</v>
      </c>
      <c r="F322" s="4" t="s">
        <v>19</v>
      </c>
      <c r="G322" s="7">
        <v>422653708227.35</v>
      </c>
    </row>
    <row ht="12.8" outlineLevel="0" r="323" s="4" customFormat="1">
      <c r="A323" s="17">
        <v>44044</v>
      </c>
      <c r="B323" s="4" t="s">
        <v>13</v>
      </c>
      <c r="C323" s="4" t="s">
        <v>8</v>
      </c>
      <c r="D323" s="4" t="s">
        <v>9</v>
      </c>
      <c r="E323" s="4" t="s">
        <v>10</v>
      </c>
      <c r="F323" s="4" t="s">
        <v>11</v>
      </c>
      <c r="G323" s="7">
        <v>638949241947.48</v>
      </c>
    </row>
    <row ht="12.8" outlineLevel="0" r="324" s="4" customFormat="1">
      <c r="A324" s="17">
        <v>44044</v>
      </c>
      <c r="B324" s="4" t="s">
        <v>13</v>
      </c>
      <c r="C324" s="4" t="s">
        <v>8</v>
      </c>
      <c r="D324" s="4" t="s">
        <v>9</v>
      </c>
      <c r="E324" s="4" t="s">
        <v>14</v>
      </c>
      <c r="F324" s="4" t="s">
        <v>15</v>
      </c>
      <c r="G324" s="7">
        <v>557844215686.794</v>
      </c>
    </row>
    <row ht="12.8" outlineLevel="0" r="325" s="4" customFormat="1">
      <c r="A325" s="17">
        <v>44044</v>
      </c>
      <c r="B325" s="4" t="s">
        <v>13</v>
      </c>
      <c r="C325" s="4" t="s">
        <v>8</v>
      </c>
      <c r="D325" s="4" t="s">
        <v>9</v>
      </c>
      <c r="E325" s="4" t="s">
        <v>16</v>
      </c>
      <c r="F325" s="4" t="s">
        <v>17</v>
      </c>
      <c r="G325" s="7">
        <v>413417795233.929</v>
      </c>
    </row>
    <row ht="12.8" outlineLevel="0" r="326" s="4" customFormat="1">
      <c r="A326" s="17">
        <v>44044</v>
      </c>
      <c r="B326" s="4" t="s">
        <v>13</v>
      </c>
      <c r="C326" s="4" t="s">
        <v>8</v>
      </c>
      <c r="D326" s="4" t="s">
        <v>9</v>
      </c>
      <c r="E326" s="4" t="s">
        <v>18</v>
      </c>
      <c r="F326" s="4" t="s">
        <v>19</v>
      </c>
      <c r="G326" s="7">
        <v>408155179645.785</v>
      </c>
    </row>
    <row ht="12.8" outlineLevel="0" r="327" s="4" customFormat="1">
      <c r="A327" s="17">
        <v>44044</v>
      </c>
      <c r="B327" s="4" t="s">
        <v>32</v>
      </c>
      <c r="C327" s="4" t="s">
        <v>33</v>
      </c>
      <c r="D327" s="4" t="s">
        <v>34</v>
      </c>
      <c r="E327" s="4" t="s">
        <v>10</v>
      </c>
      <c r="F327" s="4" t="s">
        <v>11</v>
      </c>
      <c r="G327" s="7">
        <v>43000703159</v>
      </c>
    </row>
    <row ht="12.8" outlineLevel="0" r="328" s="4" customFormat="1">
      <c r="A328" s="17">
        <v>44044</v>
      </c>
      <c r="B328" s="4" t="s">
        <v>32</v>
      </c>
      <c r="C328" s="4" t="s">
        <v>33</v>
      </c>
      <c r="D328" s="4" t="s">
        <v>34</v>
      </c>
      <c r="E328" s="4" t="s">
        <v>14</v>
      </c>
      <c r="F328" s="4" t="s">
        <v>15</v>
      </c>
      <c r="G328" s="7">
        <v>23890115210.8473</v>
      </c>
    </row>
    <row ht="12.8" outlineLevel="0" r="329" s="4" customFormat="1">
      <c r="A329" s="17">
        <v>44044</v>
      </c>
      <c r="B329" s="4" t="s">
        <v>32</v>
      </c>
      <c r="C329" s="4" t="s">
        <v>33</v>
      </c>
      <c r="D329" s="4" t="s">
        <v>34</v>
      </c>
      <c r="E329" s="4" t="s">
        <v>16</v>
      </c>
      <c r="F329" s="4" t="s">
        <v>17</v>
      </c>
      <c r="G329" s="7">
        <v>9082777765.8476</v>
      </c>
    </row>
    <row ht="12.8" outlineLevel="0" r="330" s="4" customFormat="1">
      <c r="A330" s="17">
        <v>44044</v>
      </c>
      <c r="B330" s="4" t="s">
        <v>32</v>
      </c>
      <c r="C330" s="4" t="s">
        <v>33</v>
      </c>
      <c r="D330" s="4" t="s">
        <v>34</v>
      </c>
      <c r="E330" s="4" t="s">
        <v>18</v>
      </c>
      <c r="F330" s="4" t="s">
        <v>19</v>
      </c>
      <c r="G330" s="7">
        <v>8629093136.2176</v>
      </c>
    </row>
    <row ht="12.8" outlineLevel="0" r="331" s="4" customFormat="1">
      <c r="A331" s="17">
        <v>44044</v>
      </c>
      <c r="B331" s="4" t="s">
        <v>35</v>
      </c>
      <c r="C331" s="4" t="s">
        <v>36</v>
      </c>
      <c r="D331" s="4" t="s">
        <v>37</v>
      </c>
      <c r="E331" s="4" t="s">
        <v>10</v>
      </c>
      <c r="F331" s="4" t="s">
        <v>11</v>
      </c>
      <c r="G331" s="7">
        <v>229489879229</v>
      </c>
    </row>
    <row ht="12.8" outlineLevel="0" r="332" s="4" customFormat="1">
      <c r="A332" s="17">
        <v>44044</v>
      </c>
      <c r="B332" s="4" t="s">
        <v>35</v>
      </c>
      <c r="C332" s="4" t="s">
        <v>36</v>
      </c>
      <c r="D332" s="4" t="s">
        <v>37</v>
      </c>
      <c r="E332" s="4" t="s">
        <v>14</v>
      </c>
      <c r="F332" s="4" t="s">
        <v>15</v>
      </c>
      <c r="G332" s="7">
        <v>98806825148.38</v>
      </c>
    </row>
    <row ht="12.8" outlineLevel="0" r="333" s="4" customFormat="1">
      <c r="A333" s="17">
        <v>44044</v>
      </c>
      <c r="B333" s="4" t="s">
        <v>35</v>
      </c>
      <c r="C333" s="4" t="s">
        <v>36</v>
      </c>
      <c r="D333" s="4" t="s">
        <v>37</v>
      </c>
      <c r="E333" s="4" t="s">
        <v>16</v>
      </c>
      <c r="F333" s="4" t="s">
        <v>17</v>
      </c>
      <c r="G333" s="7">
        <v>69404829394.25</v>
      </c>
    </row>
    <row ht="12.8" outlineLevel="0" r="334" s="4" customFormat="1">
      <c r="A334" s="17">
        <v>44044</v>
      </c>
      <c r="B334" s="4" t="s">
        <v>35</v>
      </c>
      <c r="C334" s="4" t="s">
        <v>36</v>
      </c>
      <c r="D334" s="4" t="s">
        <v>37</v>
      </c>
      <c r="E334" s="4" t="s">
        <v>18</v>
      </c>
      <c r="F334" s="4" t="s">
        <v>19</v>
      </c>
      <c r="G334" s="7">
        <v>69342309850.03</v>
      </c>
    </row>
    <row ht="12.8" outlineLevel="0" r="335" s="4" customFormat="1">
      <c r="A335" s="17">
        <v>44044</v>
      </c>
      <c r="B335" s="4" t="s">
        <v>22</v>
      </c>
      <c r="C335" s="4" t="s">
        <v>23</v>
      </c>
      <c r="D335" s="4" t="s">
        <v>24</v>
      </c>
      <c r="E335" s="4" t="s">
        <v>10</v>
      </c>
      <c r="F335" s="4" t="s">
        <v>11</v>
      </c>
      <c r="G335" s="7">
        <v>420628290154.61</v>
      </c>
    </row>
    <row ht="12.8" outlineLevel="0" r="336" s="4" customFormat="1">
      <c r="A336" s="17">
        <v>44044</v>
      </c>
      <c r="B336" s="4" t="s">
        <v>22</v>
      </c>
      <c r="C336" s="4" t="s">
        <v>23</v>
      </c>
      <c r="D336" s="4" t="s">
        <v>24</v>
      </c>
      <c r="E336" s="4" t="s">
        <v>14</v>
      </c>
      <c r="F336" s="4" t="s">
        <v>15</v>
      </c>
      <c r="G336" s="7">
        <v>136838665002.42</v>
      </c>
    </row>
    <row ht="12.8" outlineLevel="0" r="337" s="4" customFormat="1">
      <c r="A337" s="17">
        <v>44044</v>
      </c>
      <c r="B337" s="4" t="s">
        <v>22</v>
      </c>
      <c r="C337" s="4" t="s">
        <v>23</v>
      </c>
      <c r="D337" s="4" t="s">
        <v>24</v>
      </c>
      <c r="E337" s="4" t="s">
        <v>16</v>
      </c>
      <c r="F337" s="4" t="s">
        <v>17</v>
      </c>
      <c r="G337" s="7">
        <v>136736802383.76</v>
      </c>
    </row>
    <row ht="12.8" outlineLevel="0" r="338" s="4" customFormat="1">
      <c r="A338" s="17">
        <v>44044</v>
      </c>
      <c r="B338" s="4" t="s">
        <v>22</v>
      </c>
      <c r="C338" s="4" t="s">
        <v>23</v>
      </c>
      <c r="D338" s="4" t="s">
        <v>24</v>
      </c>
      <c r="E338" s="4" t="s">
        <v>18</v>
      </c>
      <c r="F338" s="4" t="s">
        <v>19</v>
      </c>
      <c r="G338" s="7">
        <v>136736802383.76</v>
      </c>
    </row>
    <row ht="12.8" outlineLevel="0" r="339" s="4" customFormat="1">
      <c r="A339" s="17">
        <v>44044</v>
      </c>
      <c r="B339" s="4" t="s">
        <v>25</v>
      </c>
      <c r="C339" s="4" t="s">
        <v>23</v>
      </c>
      <c r="D339" s="4" t="s">
        <v>24</v>
      </c>
      <c r="E339" s="4" t="s">
        <v>10</v>
      </c>
      <c r="F339" s="4" t="s">
        <v>11</v>
      </c>
      <c r="G339" s="7">
        <v>772452934953.39</v>
      </c>
    </row>
    <row ht="12.8" outlineLevel="0" r="340" s="4" customFormat="1">
      <c r="A340" s="17">
        <v>44044</v>
      </c>
      <c r="B340" s="4" t="s">
        <v>25</v>
      </c>
      <c r="C340" s="4" t="s">
        <v>23</v>
      </c>
      <c r="D340" s="4" t="s">
        <v>24</v>
      </c>
      <c r="E340" s="4" t="s">
        <v>14</v>
      </c>
      <c r="F340" s="4" t="s">
        <v>15</v>
      </c>
      <c r="G340" s="7">
        <v>642650358260.93</v>
      </c>
    </row>
    <row ht="12.8" outlineLevel="0" r="341" s="4" customFormat="1">
      <c r="A341" s="17">
        <v>44044</v>
      </c>
      <c r="B341" s="4" t="s">
        <v>25</v>
      </c>
      <c r="C341" s="4" t="s">
        <v>23</v>
      </c>
      <c r="D341" s="4" t="s">
        <v>24</v>
      </c>
      <c r="E341" s="4" t="s">
        <v>16</v>
      </c>
      <c r="F341" s="4" t="s">
        <v>17</v>
      </c>
      <c r="G341" s="7">
        <v>627551231857.94</v>
      </c>
    </row>
    <row ht="12.8" outlineLevel="0" r="342" s="4" customFormat="1">
      <c r="A342" s="17">
        <v>44044</v>
      </c>
      <c r="B342" s="4" t="s">
        <v>25</v>
      </c>
      <c r="C342" s="4" t="s">
        <v>23</v>
      </c>
      <c r="D342" s="4" t="s">
        <v>24</v>
      </c>
      <c r="E342" s="4" t="s">
        <v>18</v>
      </c>
      <c r="F342" s="4" t="s">
        <v>19</v>
      </c>
      <c r="G342" s="7">
        <v>627551231857.94</v>
      </c>
    </row>
    <row ht="12.8" outlineLevel="0" r="343" s="4" customFormat="1">
      <c r="A343" s="17">
        <v>44044</v>
      </c>
      <c r="B343" s="4" t="s">
        <v>38</v>
      </c>
      <c r="C343" s="4" t="s">
        <v>39</v>
      </c>
      <c r="D343" s="4" t="s">
        <v>40</v>
      </c>
      <c r="E343" s="4" t="s">
        <v>10</v>
      </c>
      <c r="F343" s="4" t="s">
        <v>11</v>
      </c>
      <c r="G343" s="7">
        <v>33476172581</v>
      </c>
    </row>
    <row ht="12.8" outlineLevel="0" r="344" s="4" customFormat="1">
      <c r="A344" s="17">
        <v>44013</v>
      </c>
      <c r="B344" s="4" t="s">
        <v>35</v>
      </c>
      <c r="C344" s="4" t="s">
        <v>36</v>
      </c>
      <c r="D344" s="4" t="s">
        <v>37</v>
      </c>
      <c r="E344" s="4" t="s">
        <v>16</v>
      </c>
      <c r="F344" s="4" t="s">
        <v>17</v>
      </c>
      <c r="G344" s="7">
        <v>47636188277.21</v>
      </c>
    </row>
    <row ht="12.8" outlineLevel="0" r="345" s="4" customFormat="1">
      <c r="A345" s="17">
        <v>44013</v>
      </c>
      <c r="B345" s="4" t="s">
        <v>35</v>
      </c>
      <c r="C345" s="4" t="s">
        <v>36</v>
      </c>
      <c r="D345" s="4" t="s">
        <v>37</v>
      </c>
      <c r="E345" s="4" t="s">
        <v>18</v>
      </c>
      <c r="F345" s="4" t="s">
        <v>19</v>
      </c>
      <c r="G345" s="7">
        <v>47437920593.82</v>
      </c>
    </row>
    <row ht="12.8" outlineLevel="0" r="346" s="4" customFormat="1">
      <c r="A346" s="17">
        <v>44013</v>
      </c>
      <c r="B346" s="4" t="s">
        <v>35</v>
      </c>
      <c r="C346" s="4" t="s">
        <v>36</v>
      </c>
      <c r="D346" s="4" t="s">
        <v>37</v>
      </c>
      <c r="E346" s="4" t="s">
        <v>10</v>
      </c>
      <c r="F346" s="4" t="s">
        <v>11</v>
      </c>
      <c r="G346" s="7">
        <v>229489829229</v>
      </c>
    </row>
    <row ht="12.8" outlineLevel="0" r="347" s="4" customFormat="1">
      <c r="A347" s="17">
        <v>44013</v>
      </c>
      <c r="B347" s="4" t="s">
        <v>32</v>
      </c>
      <c r="C347" s="4" t="s">
        <v>33</v>
      </c>
      <c r="D347" s="4" t="s">
        <v>34</v>
      </c>
      <c r="E347" s="4" t="s">
        <v>18</v>
      </c>
      <c r="F347" s="4" t="s">
        <v>19</v>
      </c>
      <c r="G347" s="7">
        <v>6749449215.5604</v>
      </c>
    </row>
    <row ht="12.8" outlineLevel="0" r="348" s="4" customFormat="1">
      <c r="A348" s="17">
        <v>44013</v>
      </c>
      <c r="B348" s="4" t="s">
        <v>32</v>
      </c>
      <c r="C348" s="4" t="s">
        <v>33</v>
      </c>
      <c r="D348" s="4" t="s">
        <v>34</v>
      </c>
      <c r="E348" s="4" t="s">
        <v>16</v>
      </c>
      <c r="F348" s="4" t="s">
        <v>17</v>
      </c>
      <c r="G348" s="7">
        <v>7081151983.2869</v>
      </c>
    </row>
    <row ht="12.8" outlineLevel="0" r="349" s="4" customFormat="1">
      <c r="A349" s="17">
        <v>44013</v>
      </c>
      <c r="B349" s="4" t="s">
        <v>32</v>
      </c>
      <c r="C349" s="4" t="s">
        <v>33</v>
      </c>
      <c r="D349" s="4" t="s">
        <v>34</v>
      </c>
      <c r="E349" s="4" t="s">
        <v>14</v>
      </c>
      <c r="F349" s="4" t="s">
        <v>15</v>
      </c>
      <c r="G349" s="7">
        <v>21109773081.1579</v>
      </c>
    </row>
    <row ht="12.8" outlineLevel="0" r="350" s="4" customFormat="1">
      <c r="A350" s="17">
        <v>44013</v>
      </c>
      <c r="B350" s="4" t="s">
        <v>32</v>
      </c>
      <c r="C350" s="4" t="s">
        <v>33</v>
      </c>
      <c r="D350" s="4" t="s">
        <v>34</v>
      </c>
      <c r="E350" s="4" t="s">
        <v>10</v>
      </c>
      <c r="F350" s="4" t="s">
        <v>11</v>
      </c>
      <c r="G350" s="7">
        <v>42511286850</v>
      </c>
    </row>
    <row ht="12.8" outlineLevel="0" r="351" s="4" customFormat="1">
      <c r="A351" s="17">
        <v>44013</v>
      </c>
      <c r="B351" s="4" t="s">
        <v>13</v>
      </c>
      <c r="C351" s="4" t="s">
        <v>8</v>
      </c>
      <c r="D351" s="4" t="s">
        <v>9</v>
      </c>
      <c r="E351" s="4" t="s">
        <v>18</v>
      </c>
      <c r="F351" s="4" t="s">
        <v>19</v>
      </c>
      <c r="G351" s="7">
        <v>340642296595.729</v>
      </c>
    </row>
    <row ht="12.8" outlineLevel="0" r="352" s="4" customFormat="1">
      <c r="A352" s="17">
        <v>44013</v>
      </c>
      <c r="B352" s="4" t="s">
        <v>35</v>
      </c>
      <c r="C352" s="4" t="s">
        <v>36</v>
      </c>
      <c r="D352" s="4" t="s">
        <v>37</v>
      </c>
      <c r="E352" s="4" t="s">
        <v>14</v>
      </c>
      <c r="F352" s="4" t="s">
        <v>15</v>
      </c>
      <c r="G352" s="7">
        <v>91896805405.86</v>
      </c>
    </row>
    <row ht="12.8" outlineLevel="0" r="353" s="4" customFormat="1">
      <c r="A353" s="17">
        <v>44013</v>
      </c>
      <c r="B353" s="4" t="s">
        <v>13</v>
      </c>
      <c r="C353" s="4" t="s">
        <v>8</v>
      </c>
      <c r="D353" s="4" t="s">
        <v>9</v>
      </c>
      <c r="E353" s="4" t="s">
        <v>16</v>
      </c>
      <c r="F353" s="4" t="s">
        <v>17</v>
      </c>
      <c r="G353" s="7">
        <v>345981626140.027</v>
      </c>
    </row>
    <row ht="12.8" outlineLevel="0" r="354" s="4" customFormat="1">
      <c r="A354" s="17">
        <v>44013</v>
      </c>
      <c r="B354" s="4" t="s">
        <v>7</v>
      </c>
      <c r="C354" s="4" t="s">
        <v>8</v>
      </c>
      <c r="D354" s="4" t="s">
        <v>9</v>
      </c>
      <c r="E354" s="4" t="s">
        <v>16</v>
      </c>
      <c r="F354" s="4" t="s">
        <v>17</v>
      </c>
      <c r="G354" s="7">
        <v>252752756079.59</v>
      </c>
    </row>
    <row ht="12.8" outlineLevel="0" r="355" s="4" customFormat="1">
      <c r="A355" s="17">
        <v>44013</v>
      </c>
      <c r="B355" s="4" t="s">
        <v>7</v>
      </c>
      <c r="C355" s="4" t="s">
        <v>8</v>
      </c>
      <c r="D355" s="4" t="s">
        <v>9</v>
      </c>
      <c r="E355" s="4" t="s">
        <v>18</v>
      </c>
      <c r="F355" s="4" t="s">
        <v>19</v>
      </c>
      <c r="G355" s="7">
        <v>252693584846.56</v>
      </c>
    </row>
    <row ht="12.8" outlineLevel="0" r="356" s="4" customFormat="1">
      <c r="A356" s="17">
        <v>44013</v>
      </c>
      <c r="B356" s="4" t="s">
        <v>12</v>
      </c>
      <c r="C356" s="4" t="s">
        <v>8</v>
      </c>
      <c r="D356" s="4" t="s">
        <v>9</v>
      </c>
      <c r="E356" s="4" t="s">
        <v>10</v>
      </c>
      <c r="F356" s="4" t="s">
        <v>11</v>
      </c>
      <c r="G356" s="7">
        <v>677698670758</v>
      </c>
    </row>
    <row ht="12.8" outlineLevel="0" r="357" s="4" customFormat="1">
      <c r="A357" s="17">
        <v>44013</v>
      </c>
      <c r="B357" s="4" t="s">
        <v>12</v>
      </c>
      <c r="C357" s="4" t="s">
        <v>8</v>
      </c>
      <c r="D357" s="4" t="s">
        <v>9</v>
      </c>
      <c r="E357" s="4" t="s">
        <v>18</v>
      </c>
      <c r="F357" s="4" t="s">
        <v>19</v>
      </c>
      <c r="G357" s="7">
        <v>372545868838.53</v>
      </c>
    </row>
    <row ht="12.8" outlineLevel="0" r="358" s="4" customFormat="1">
      <c r="A358" s="17">
        <v>44013</v>
      </c>
      <c r="B358" s="4" t="s">
        <v>13</v>
      </c>
      <c r="C358" s="4" t="s">
        <v>8</v>
      </c>
      <c r="D358" s="4" t="s">
        <v>9</v>
      </c>
      <c r="E358" s="4" t="s">
        <v>14</v>
      </c>
      <c r="F358" s="4" t="s">
        <v>15</v>
      </c>
      <c r="G358" s="7">
        <v>517144707931.298</v>
      </c>
    </row>
    <row ht="12.8" outlineLevel="0" r="359" s="4" customFormat="1">
      <c r="A359" s="17">
        <v>44013</v>
      </c>
      <c r="B359" s="4" t="s">
        <v>12</v>
      </c>
      <c r="C359" s="4" t="s">
        <v>8</v>
      </c>
      <c r="D359" s="4" t="s">
        <v>9</v>
      </c>
      <c r="E359" s="4" t="s">
        <v>14</v>
      </c>
      <c r="F359" s="4" t="s">
        <v>15</v>
      </c>
      <c r="G359" s="7">
        <v>454091379353.34</v>
      </c>
    </row>
    <row ht="12.8" outlineLevel="0" r="360" s="4" customFormat="1">
      <c r="A360" s="17">
        <v>44013</v>
      </c>
      <c r="B360" s="4" t="s">
        <v>13</v>
      </c>
      <c r="C360" s="4" t="s">
        <v>8</v>
      </c>
      <c r="D360" s="4" t="s">
        <v>9</v>
      </c>
      <c r="E360" s="4" t="s">
        <v>10</v>
      </c>
      <c r="F360" s="4" t="s">
        <v>11</v>
      </c>
      <c r="G360" s="7">
        <v>636912414313.17</v>
      </c>
    </row>
    <row ht="12.8" outlineLevel="0" r="361" s="4" customFormat="1">
      <c r="A361" s="17">
        <v>44013</v>
      </c>
      <c r="B361" s="4" t="s">
        <v>12</v>
      </c>
      <c r="C361" s="4" t="s">
        <v>8</v>
      </c>
      <c r="D361" s="4" t="s">
        <v>9</v>
      </c>
      <c r="E361" s="4" t="s">
        <v>16</v>
      </c>
      <c r="F361" s="4" t="s">
        <v>17</v>
      </c>
      <c r="G361" s="7">
        <v>411153385204.33</v>
      </c>
    </row>
    <row ht="12.8" outlineLevel="0" r="362" s="4" customFormat="1">
      <c r="A362" s="17">
        <v>44013</v>
      </c>
      <c r="B362" s="4" t="s">
        <v>7</v>
      </c>
      <c r="C362" s="4" t="s">
        <v>8</v>
      </c>
      <c r="D362" s="4" t="s">
        <v>9</v>
      </c>
      <c r="E362" s="4" t="s">
        <v>14</v>
      </c>
      <c r="F362" s="4" t="s">
        <v>15</v>
      </c>
      <c r="G362" s="7">
        <v>433349598966.22</v>
      </c>
    </row>
    <row ht="12.8" outlineLevel="0" r="363" s="4" customFormat="1">
      <c r="A363" s="17">
        <v>44013</v>
      </c>
      <c r="B363" s="4" t="s">
        <v>7</v>
      </c>
      <c r="C363" s="4" t="s">
        <v>8</v>
      </c>
      <c r="D363" s="4" t="s">
        <v>9</v>
      </c>
      <c r="E363" s="4" t="s">
        <v>10</v>
      </c>
      <c r="F363" s="4" t="s">
        <v>11</v>
      </c>
      <c r="G363" s="7">
        <v>499585310588.79</v>
      </c>
    </row>
    <row ht="12.8" outlineLevel="0" r="364" s="4" customFormat="1">
      <c r="A364" s="17">
        <v>44013</v>
      </c>
      <c r="B364" s="4" t="s">
        <v>29</v>
      </c>
      <c r="C364" s="4" t="s">
        <v>30</v>
      </c>
      <c r="D364" s="4" t="s">
        <v>31</v>
      </c>
      <c r="E364" s="4" t="s">
        <v>18</v>
      </c>
      <c r="F364" s="4" t="s">
        <v>19</v>
      </c>
      <c r="G364" s="7">
        <v>262660004917.88</v>
      </c>
    </row>
    <row ht="12.8" outlineLevel="0" r="365" s="4" customFormat="1">
      <c r="A365" s="17">
        <v>44013</v>
      </c>
      <c r="B365" s="4" t="s">
        <v>29</v>
      </c>
      <c r="C365" s="4" t="s">
        <v>30</v>
      </c>
      <c r="D365" s="4" t="s">
        <v>31</v>
      </c>
      <c r="E365" s="4" t="s">
        <v>16</v>
      </c>
      <c r="F365" s="4" t="s">
        <v>17</v>
      </c>
      <c r="G365" s="7">
        <v>262660004917.88</v>
      </c>
    </row>
    <row ht="12.8" outlineLevel="0" r="366" s="4" customFormat="1">
      <c r="A366" s="17">
        <v>44013</v>
      </c>
      <c r="B366" s="4" t="s">
        <v>29</v>
      </c>
      <c r="C366" s="4" t="s">
        <v>30</v>
      </c>
      <c r="D366" s="4" t="s">
        <v>31</v>
      </c>
      <c r="E366" s="4" t="s">
        <v>14</v>
      </c>
      <c r="F366" s="4" t="s">
        <v>15</v>
      </c>
      <c r="G366" s="7">
        <v>280374476361.41</v>
      </c>
    </row>
    <row ht="12.8" outlineLevel="0" r="367" s="4" customFormat="1">
      <c r="A367" s="17">
        <v>44013</v>
      </c>
      <c r="B367" s="4" t="s">
        <v>29</v>
      </c>
      <c r="C367" s="4" t="s">
        <v>30</v>
      </c>
      <c r="D367" s="4" t="s">
        <v>31</v>
      </c>
      <c r="E367" s="4" t="s">
        <v>10</v>
      </c>
      <c r="F367" s="4" t="s">
        <v>11</v>
      </c>
      <c r="G367" s="7">
        <v>409567187176</v>
      </c>
    </row>
    <row ht="12.8" outlineLevel="0" r="368" s="4" customFormat="1">
      <c r="A368" s="17">
        <v>44013</v>
      </c>
      <c r="B368" s="4" t="s">
        <v>26</v>
      </c>
      <c r="C368" s="4" t="s">
        <v>27</v>
      </c>
      <c r="D368" s="4" t="s">
        <v>28</v>
      </c>
      <c r="E368" s="4" t="s">
        <v>18</v>
      </c>
      <c r="F368" s="4" t="s">
        <v>19</v>
      </c>
      <c r="G368" s="7">
        <v>178002076732.961</v>
      </c>
    </row>
    <row ht="12.8" outlineLevel="0" r="369" s="4" customFormat="1">
      <c r="A369" s="17">
        <v>44013</v>
      </c>
      <c r="B369" s="4" t="s">
        <v>26</v>
      </c>
      <c r="C369" s="4" t="s">
        <v>27</v>
      </c>
      <c r="D369" s="4" t="s">
        <v>28</v>
      </c>
      <c r="E369" s="4" t="s">
        <v>16</v>
      </c>
      <c r="F369" s="4" t="s">
        <v>17</v>
      </c>
      <c r="G369" s="7">
        <v>194262647730.681</v>
      </c>
    </row>
    <row ht="12.8" outlineLevel="0" r="370" s="4" customFormat="1">
      <c r="A370" s="17">
        <v>44013</v>
      </c>
      <c r="B370" s="4" t="s">
        <v>26</v>
      </c>
      <c r="C370" s="4" t="s">
        <v>27</v>
      </c>
      <c r="D370" s="4" t="s">
        <v>28</v>
      </c>
      <c r="E370" s="4" t="s">
        <v>14</v>
      </c>
      <c r="F370" s="4" t="s">
        <v>15</v>
      </c>
      <c r="G370" s="7">
        <v>281305534474.425</v>
      </c>
    </row>
    <row ht="12.8" outlineLevel="0" r="371" s="4" customFormat="1">
      <c r="A371" s="17">
        <v>44013</v>
      </c>
      <c r="B371" s="4" t="s">
        <v>26</v>
      </c>
      <c r="C371" s="4" t="s">
        <v>27</v>
      </c>
      <c r="D371" s="4" t="s">
        <v>28</v>
      </c>
      <c r="E371" s="4" t="s">
        <v>10</v>
      </c>
      <c r="F371" s="4" t="s">
        <v>11</v>
      </c>
      <c r="G371" s="7">
        <v>345053918023</v>
      </c>
    </row>
    <row ht="12.8" outlineLevel="0" r="372" s="4" customFormat="1">
      <c r="A372" s="17">
        <v>44013</v>
      </c>
      <c r="B372" s="4" t="s">
        <v>22</v>
      </c>
      <c r="C372" s="4" t="s">
        <v>23</v>
      </c>
      <c r="D372" s="4" t="s">
        <v>24</v>
      </c>
      <c r="E372" s="4" t="s">
        <v>10</v>
      </c>
      <c r="F372" s="4" t="s">
        <v>11</v>
      </c>
      <c r="G372" s="7">
        <v>160128290154.61</v>
      </c>
    </row>
    <row ht="12.8" outlineLevel="0" r="373" s="4" customFormat="1">
      <c r="A373" s="17">
        <v>44013</v>
      </c>
      <c r="B373" s="4" t="s">
        <v>22</v>
      </c>
      <c r="C373" s="4" t="s">
        <v>23</v>
      </c>
      <c r="D373" s="4" t="s">
        <v>24</v>
      </c>
      <c r="E373" s="4" t="s">
        <v>14</v>
      </c>
      <c r="F373" s="4" t="s">
        <v>15</v>
      </c>
      <c r="G373" s="7">
        <v>87750365711.51</v>
      </c>
    </row>
    <row ht="12.8" outlineLevel="0" r="374" s="4" customFormat="1">
      <c r="A374" s="17">
        <v>44013</v>
      </c>
      <c r="B374" s="4" t="s">
        <v>22</v>
      </c>
      <c r="C374" s="4" t="s">
        <v>23</v>
      </c>
      <c r="D374" s="4" t="s">
        <v>24</v>
      </c>
      <c r="E374" s="4" t="s">
        <v>16</v>
      </c>
      <c r="F374" s="4" t="s">
        <v>17</v>
      </c>
      <c r="G374" s="7">
        <v>87634620706.65</v>
      </c>
    </row>
    <row ht="12.8" outlineLevel="0" r="375" s="4" customFormat="1">
      <c r="A375" s="17">
        <v>44013</v>
      </c>
      <c r="B375" s="4" t="s">
        <v>22</v>
      </c>
      <c r="C375" s="4" t="s">
        <v>23</v>
      </c>
      <c r="D375" s="4" t="s">
        <v>24</v>
      </c>
      <c r="E375" s="4" t="s">
        <v>18</v>
      </c>
      <c r="F375" s="4" t="s">
        <v>19</v>
      </c>
      <c r="G375" s="7">
        <v>87634620706.65</v>
      </c>
    </row>
    <row ht="12.8" outlineLevel="0" r="376" s="4" customFormat="1">
      <c r="A376" s="17">
        <v>44013</v>
      </c>
      <c r="B376" s="4" t="s">
        <v>25</v>
      </c>
      <c r="C376" s="4" t="s">
        <v>23</v>
      </c>
      <c r="D376" s="4" t="s">
        <v>24</v>
      </c>
      <c r="E376" s="4" t="s">
        <v>10</v>
      </c>
      <c r="F376" s="4" t="s">
        <v>11</v>
      </c>
      <c r="G376" s="7">
        <v>1032952934953.39</v>
      </c>
    </row>
    <row ht="12.8" outlineLevel="0" r="377" s="4" customFormat="1">
      <c r="A377" s="17">
        <v>44013</v>
      </c>
      <c r="B377" s="4" t="s">
        <v>25</v>
      </c>
      <c r="C377" s="4" t="s">
        <v>23</v>
      </c>
      <c r="D377" s="4" t="s">
        <v>24</v>
      </c>
      <c r="E377" s="4" t="s">
        <v>14</v>
      </c>
      <c r="F377" s="4" t="s">
        <v>15</v>
      </c>
      <c r="G377" s="7">
        <v>583814600269.81</v>
      </c>
    </row>
    <row ht="12.8" outlineLevel="0" r="378" s="4" customFormat="1">
      <c r="A378" s="17">
        <v>44013</v>
      </c>
      <c r="B378" s="4" t="s">
        <v>25</v>
      </c>
      <c r="C378" s="4" t="s">
        <v>23</v>
      </c>
      <c r="D378" s="4" t="s">
        <v>24</v>
      </c>
      <c r="E378" s="4" t="s">
        <v>16</v>
      </c>
      <c r="F378" s="4" t="s">
        <v>17</v>
      </c>
      <c r="G378" s="7">
        <v>565867146925.18</v>
      </c>
    </row>
    <row ht="12.8" outlineLevel="0" r="379" s="4" customFormat="1">
      <c r="A379" s="17">
        <v>44013</v>
      </c>
      <c r="B379" s="4" t="s">
        <v>25</v>
      </c>
      <c r="C379" s="4" t="s">
        <v>23</v>
      </c>
      <c r="D379" s="4" t="s">
        <v>24</v>
      </c>
      <c r="E379" s="4" t="s">
        <v>18</v>
      </c>
      <c r="F379" s="4" t="s">
        <v>19</v>
      </c>
      <c r="G379" s="7">
        <v>565867146925.18</v>
      </c>
    </row>
    <row ht="12.8" outlineLevel="0" r="380" s="4" customFormat="1">
      <c r="A380" s="17">
        <v>44013</v>
      </c>
      <c r="B380" s="4" t="s">
        <v>38</v>
      </c>
      <c r="C380" s="4" t="s">
        <v>39</v>
      </c>
      <c r="D380" s="4" t="s">
        <v>40</v>
      </c>
      <c r="E380" s="4" t="s">
        <v>10</v>
      </c>
      <c r="F380" s="4" t="s">
        <v>11</v>
      </c>
      <c r="G380" s="7">
        <v>34279518268</v>
      </c>
    </row>
    <row ht="12.8" outlineLevel="0" r="381" s="4" customFormat="1">
      <c r="A381" s="17">
        <v>43983</v>
      </c>
      <c r="B381" s="4" t="s">
        <v>26</v>
      </c>
      <c r="C381" s="4" t="s">
        <v>27</v>
      </c>
      <c r="D381" s="4" t="s">
        <v>28</v>
      </c>
      <c r="E381" s="4" t="s">
        <v>18</v>
      </c>
      <c r="F381" s="4" t="s">
        <v>19</v>
      </c>
      <c r="G381" s="7">
        <v>144725500361.661</v>
      </c>
    </row>
    <row ht="12.8" outlineLevel="0" r="382" s="4" customFormat="1">
      <c r="A382" s="17">
        <v>43983</v>
      </c>
      <c r="B382" s="4" t="s">
        <v>26</v>
      </c>
      <c r="C382" s="4" t="s">
        <v>27</v>
      </c>
      <c r="D382" s="4" t="s">
        <v>28</v>
      </c>
      <c r="E382" s="4" t="s">
        <v>16</v>
      </c>
      <c r="F382" s="4" t="s">
        <v>17</v>
      </c>
      <c r="G382" s="7">
        <v>168074300034.991</v>
      </c>
    </row>
    <row ht="12.8" outlineLevel="0" r="383" s="4" customFormat="1">
      <c r="A383" s="17">
        <v>43983</v>
      </c>
      <c r="B383" s="4" t="s">
        <v>26</v>
      </c>
      <c r="C383" s="4" t="s">
        <v>27</v>
      </c>
      <c r="D383" s="4" t="s">
        <v>28</v>
      </c>
      <c r="E383" s="4" t="s">
        <v>14</v>
      </c>
      <c r="F383" s="4" t="s">
        <v>15</v>
      </c>
      <c r="G383" s="7">
        <v>261487339816.421</v>
      </c>
    </row>
    <row ht="12.8" outlineLevel="0" r="384" s="4" customFormat="1">
      <c r="A384" s="17">
        <v>43983</v>
      </c>
      <c r="B384" s="4" t="s">
        <v>26</v>
      </c>
      <c r="C384" s="4" t="s">
        <v>27</v>
      </c>
      <c r="D384" s="4" t="s">
        <v>28</v>
      </c>
      <c r="E384" s="4" t="s">
        <v>10</v>
      </c>
      <c r="F384" s="4" t="s">
        <v>11</v>
      </c>
      <c r="G384" s="7">
        <v>345059418023</v>
      </c>
    </row>
    <row ht="12.8" outlineLevel="0" r="385" s="4" customFormat="1">
      <c r="A385" s="17">
        <v>43983</v>
      </c>
      <c r="B385" s="4" t="s">
        <v>13</v>
      </c>
      <c r="C385" s="4" t="s">
        <v>8</v>
      </c>
      <c r="D385" s="4" t="s">
        <v>9</v>
      </c>
      <c r="E385" s="4" t="s">
        <v>14</v>
      </c>
      <c r="F385" s="4" t="s">
        <v>15</v>
      </c>
      <c r="G385" s="7">
        <v>406527193761.651</v>
      </c>
    </row>
    <row ht="12.8" outlineLevel="0" r="386" s="4" customFormat="1">
      <c r="A386" s="17">
        <v>43983</v>
      </c>
      <c r="B386" s="4" t="s">
        <v>13</v>
      </c>
      <c r="C386" s="4" t="s">
        <v>8</v>
      </c>
      <c r="D386" s="4" t="s">
        <v>9</v>
      </c>
      <c r="E386" s="4" t="s">
        <v>16</v>
      </c>
      <c r="F386" s="4" t="s">
        <v>17</v>
      </c>
      <c r="G386" s="7">
        <v>274556337889.662</v>
      </c>
    </row>
    <row ht="12.8" outlineLevel="0" r="387" s="4" customFormat="1">
      <c r="A387" s="17">
        <v>43983</v>
      </c>
      <c r="B387" s="4" t="s">
        <v>12</v>
      </c>
      <c r="C387" s="4" t="s">
        <v>8</v>
      </c>
      <c r="D387" s="4" t="s">
        <v>9</v>
      </c>
      <c r="E387" s="4" t="s">
        <v>16</v>
      </c>
      <c r="F387" s="4" t="s">
        <v>17</v>
      </c>
      <c r="G387" s="7">
        <v>360515979562.97</v>
      </c>
    </row>
    <row ht="12.8" outlineLevel="0" r="388" s="4" customFormat="1">
      <c r="A388" s="17">
        <v>43983</v>
      </c>
      <c r="B388" s="4" t="s">
        <v>13</v>
      </c>
      <c r="C388" s="4" t="s">
        <v>8</v>
      </c>
      <c r="D388" s="4" t="s">
        <v>9</v>
      </c>
      <c r="E388" s="4" t="s">
        <v>10</v>
      </c>
      <c r="F388" s="4" t="s">
        <v>11</v>
      </c>
      <c r="G388" s="7">
        <v>537797646578.83</v>
      </c>
    </row>
    <row ht="12.8" outlineLevel="0" r="389" s="4" customFormat="1">
      <c r="A389" s="17">
        <v>43983</v>
      </c>
      <c r="B389" s="4" t="s">
        <v>13</v>
      </c>
      <c r="C389" s="4" t="s">
        <v>8</v>
      </c>
      <c r="D389" s="4" t="s">
        <v>9</v>
      </c>
      <c r="E389" s="4" t="s">
        <v>18</v>
      </c>
      <c r="F389" s="4" t="s">
        <v>19</v>
      </c>
      <c r="G389" s="7">
        <v>269378621067.433</v>
      </c>
    </row>
    <row ht="12.8" outlineLevel="0" r="390" s="4" customFormat="1">
      <c r="A390" s="17">
        <v>43983</v>
      </c>
      <c r="B390" s="4" t="s">
        <v>32</v>
      </c>
      <c r="C390" s="4" t="s">
        <v>33</v>
      </c>
      <c r="D390" s="4" t="s">
        <v>34</v>
      </c>
      <c r="E390" s="4" t="s">
        <v>18</v>
      </c>
      <c r="F390" s="4" t="s">
        <v>19</v>
      </c>
      <c r="G390" s="7">
        <v>5152158545.8728</v>
      </c>
    </row>
    <row ht="12.8" outlineLevel="0" r="391" s="4" customFormat="1">
      <c r="A391" s="17">
        <v>43983</v>
      </c>
      <c r="B391" s="4" t="s">
        <v>32</v>
      </c>
      <c r="C391" s="4" t="s">
        <v>33</v>
      </c>
      <c r="D391" s="4" t="s">
        <v>34</v>
      </c>
      <c r="E391" s="4" t="s">
        <v>16</v>
      </c>
      <c r="F391" s="4" t="s">
        <v>17</v>
      </c>
      <c r="G391" s="7">
        <v>5467775916.5403</v>
      </c>
    </row>
    <row ht="12.8" outlineLevel="0" r="392" s="4" customFormat="1">
      <c r="A392" s="17">
        <v>43983</v>
      </c>
      <c r="B392" s="4" t="s">
        <v>32</v>
      </c>
      <c r="C392" s="4" t="s">
        <v>33</v>
      </c>
      <c r="D392" s="4" t="s">
        <v>34</v>
      </c>
      <c r="E392" s="4" t="s">
        <v>14</v>
      </c>
      <c r="F392" s="4" t="s">
        <v>15</v>
      </c>
      <c r="G392" s="7">
        <v>18688195662.7805</v>
      </c>
    </row>
    <row ht="12.8" outlineLevel="0" r="393" s="4" customFormat="1">
      <c r="A393" s="17">
        <v>43983</v>
      </c>
      <c r="B393" s="4" t="s">
        <v>35</v>
      </c>
      <c r="C393" s="4" t="s">
        <v>36</v>
      </c>
      <c r="D393" s="4" t="s">
        <v>37</v>
      </c>
      <c r="E393" s="4" t="s">
        <v>18</v>
      </c>
      <c r="F393" s="4" t="s">
        <v>19</v>
      </c>
      <c r="G393" s="7">
        <v>56857626019.2</v>
      </c>
    </row>
    <row ht="12.8" outlineLevel="0" r="394" s="4" customFormat="1">
      <c r="A394" s="17">
        <v>43983</v>
      </c>
      <c r="B394" s="4" t="s">
        <v>32</v>
      </c>
      <c r="C394" s="4" t="s">
        <v>33</v>
      </c>
      <c r="D394" s="4" t="s">
        <v>34</v>
      </c>
      <c r="E394" s="4" t="s">
        <v>10</v>
      </c>
      <c r="F394" s="4" t="s">
        <v>11</v>
      </c>
      <c r="G394" s="7">
        <v>44369564260</v>
      </c>
    </row>
    <row ht="12.8" outlineLevel="0" r="395" s="4" customFormat="1">
      <c r="A395" s="17">
        <v>43983</v>
      </c>
      <c r="B395" s="4" t="s">
        <v>7</v>
      </c>
      <c r="C395" s="4" t="s">
        <v>8</v>
      </c>
      <c r="D395" s="4" t="s">
        <v>9</v>
      </c>
      <c r="E395" s="4" t="s">
        <v>18</v>
      </c>
      <c r="F395" s="4" t="s">
        <v>19</v>
      </c>
      <c r="G395" s="7">
        <v>199986815416.18</v>
      </c>
    </row>
    <row ht="12.8" outlineLevel="0" r="396" s="4" customFormat="1">
      <c r="A396" s="17">
        <v>43983</v>
      </c>
      <c r="B396" s="4" t="s">
        <v>7</v>
      </c>
      <c r="C396" s="4" t="s">
        <v>8</v>
      </c>
      <c r="D396" s="4" t="s">
        <v>9</v>
      </c>
      <c r="E396" s="4" t="s">
        <v>10</v>
      </c>
      <c r="F396" s="4" t="s">
        <v>11</v>
      </c>
      <c r="G396" s="7">
        <v>492081578922.76</v>
      </c>
    </row>
    <row ht="12.8" outlineLevel="0" r="397" s="4" customFormat="1">
      <c r="A397" s="17">
        <v>43983</v>
      </c>
      <c r="B397" s="4" t="s">
        <v>7</v>
      </c>
      <c r="C397" s="4" t="s">
        <v>8</v>
      </c>
      <c r="D397" s="4" t="s">
        <v>9</v>
      </c>
      <c r="E397" s="4" t="s">
        <v>14</v>
      </c>
      <c r="F397" s="4" t="s">
        <v>15</v>
      </c>
      <c r="G397" s="7">
        <v>410046244499.95</v>
      </c>
    </row>
    <row ht="12.8" outlineLevel="0" r="398" s="4" customFormat="1">
      <c r="A398" s="17">
        <v>43983</v>
      </c>
      <c r="B398" s="4" t="s">
        <v>7</v>
      </c>
      <c r="C398" s="4" t="s">
        <v>8</v>
      </c>
      <c r="D398" s="4" t="s">
        <v>9</v>
      </c>
      <c r="E398" s="4" t="s">
        <v>16</v>
      </c>
      <c r="F398" s="4" t="s">
        <v>17</v>
      </c>
      <c r="G398" s="7">
        <v>200153702431.14</v>
      </c>
    </row>
    <row ht="12.8" outlineLevel="0" r="399" s="4" customFormat="1">
      <c r="A399" s="17">
        <v>43983</v>
      </c>
      <c r="B399" s="4" t="s">
        <v>12</v>
      </c>
      <c r="C399" s="4" t="s">
        <v>8</v>
      </c>
      <c r="D399" s="4" t="s">
        <v>9</v>
      </c>
      <c r="E399" s="4" t="s">
        <v>18</v>
      </c>
      <c r="F399" s="4" t="s">
        <v>19</v>
      </c>
      <c r="G399" s="7">
        <v>321880935503.02</v>
      </c>
    </row>
    <row ht="12.8" outlineLevel="0" r="400" s="4" customFormat="1">
      <c r="A400" s="17">
        <v>43983</v>
      </c>
      <c r="B400" s="4" t="s">
        <v>25</v>
      </c>
      <c r="C400" s="4" t="s">
        <v>23</v>
      </c>
      <c r="D400" s="4" t="s">
        <v>24</v>
      </c>
      <c r="E400" s="4" t="s">
        <v>18</v>
      </c>
      <c r="F400" s="4" t="s">
        <v>19</v>
      </c>
      <c r="G400" s="7">
        <v>344219943271.63</v>
      </c>
    </row>
    <row ht="12.8" outlineLevel="0" r="401" s="4" customFormat="1">
      <c r="A401" s="17">
        <v>43983</v>
      </c>
      <c r="B401" s="4" t="s">
        <v>38</v>
      </c>
      <c r="C401" s="4" t="s">
        <v>39</v>
      </c>
      <c r="D401" s="4" t="s">
        <v>40</v>
      </c>
      <c r="E401" s="4" t="s">
        <v>10</v>
      </c>
      <c r="F401" s="4" t="s">
        <v>11</v>
      </c>
      <c r="G401" s="7">
        <v>34279518268</v>
      </c>
    </row>
    <row ht="12.8" outlineLevel="0" r="402" s="4" customFormat="1">
      <c r="A402" s="17">
        <v>43983</v>
      </c>
      <c r="B402" s="4" t="s">
        <v>35</v>
      </c>
      <c r="C402" s="4" t="s">
        <v>36</v>
      </c>
      <c r="D402" s="4" t="s">
        <v>37</v>
      </c>
      <c r="E402" s="4" t="s">
        <v>14</v>
      </c>
      <c r="F402" s="4" t="s">
        <v>15</v>
      </c>
      <c r="G402" s="7">
        <v>108341488917.26</v>
      </c>
    </row>
    <row ht="12.8" outlineLevel="0" r="403" s="4" customFormat="1">
      <c r="A403" s="17">
        <v>43983</v>
      </c>
      <c r="B403" s="4" t="s">
        <v>35</v>
      </c>
      <c r="C403" s="4" t="s">
        <v>36</v>
      </c>
      <c r="D403" s="4" t="s">
        <v>37</v>
      </c>
      <c r="E403" s="4" t="s">
        <v>10</v>
      </c>
      <c r="F403" s="4" t="s">
        <v>11</v>
      </c>
      <c r="G403" s="7">
        <v>229484551220</v>
      </c>
    </row>
    <row ht="12.8" outlineLevel="0" r="404" s="4" customFormat="1">
      <c r="A404" s="17">
        <v>43983</v>
      </c>
      <c r="B404" s="4" t="s">
        <v>25</v>
      </c>
      <c r="C404" s="4" t="s">
        <v>23</v>
      </c>
      <c r="D404" s="4" t="s">
        <v>24</v>
      </c>
      <c r="E404" s="4" t="s">
        <v>16</v>
      </c>
      <c r="F404" s="4" t="s">
        <v>17</v>
      </c>
      <c r="G404" s="7">
        <v>344219943271.63</v>
      </c>
    </row>
    <row ht="12.8" outlineLevel="0" r="405" s="4" customFormat="1">
      <c r="A405" s="17">
        <v>43983</v>
      </c>
      <c r="B405" s="4" t="s">
        <v>35</v>
      </c>
      <c r="C405" s="4" t="s">
        <v>36</v>
      </c>
      <c r="D405" s="4" t="s">
        <v>37</v>
      </c>
      <c r="E405" s="4" t="s">
        <v>16</v>
      </c>
      <c r="F405" s="4" t="s">
        <v>17</v>
      </c>
      <c r="G405" s="7">
        <v>56905374156.75</v>
      </c>
    </row>
    <row ht="12.8" outlineLevel="0" r="406" s="4" customFormat="1">
      <c r="A406" s="17">
        <v>43983</v>
      </c>
      <c r="B406" s="4" t="s">
        <v>22</v>
      </c>
      <c r="C406" s="4" t="s">
        <v>23</v>
      </c>
      <c r="D406" s="4" t="s">
        <v>24</v>
      </c>
      <c r="E406" s="4" t="s">
        <v>18</v>
      </c>
      <c r="F406" s="4" t="s">
        <v>19</v>
      </c>
      <c r="G406" s="7">
        <v>87606858717.02</v>
      </c>
    </row>
    <row ht="12.8" outlineLevel="0" r="407" s="4" customFormat="1">
      <c r="A407" s="17">
        <v>43983</v>
      </c>
      <c r="B407" s="4" t="s">
        <v>25</v>
      </c>
      <c r="C407" s="4" t="s">
        <v>23</v>
      </c>
      <c r="D407" s="4" t="s">
        <v>24</v>
      </c>
      <c r="E407" s="4" t="s">
        <v>10</v>
      </c>
      <c r="F407" s="4" t="s">
        <v>11</v>
      </c>
      <c r="G407" s="7">
        <v>1080600365840.5</v>
      </c>
    </row>
    <row ht="12.8" outlineLevel="0" r="408" s="4" customFormat="1">
      <c r="A408" s="17">
        <v>43983</v>
      </c>
      <c r="B408" s="4" t="s">
        <v>25</v>
      </c>
      <c r="C408" s="4" t="s">
        <v>23</v>
      </c>
      <c r="D408" s="4" t="s">
        <v>24</v>
      </c>
      <c r="E408" s="4" t="s">
        <v>14</v>
      </c>
      <c r="F408" s="4" t="s">
        <v>15</v>
      </c>
      <c r="G408" s="7">
        <v>362170384373.41</v>
      </c>
    </row>
    <row ht="12.8" outlineLevel="0" r="409" s="4" customFormat="1">
      <c r="A409" s="17">
        <v>43983</v>
      </c>
      <c r="B409" s="4" t="s">
        <v>29</v>
      </c>
      <c r="C409" s="4" t="s">
        <v>30</v>
      </c>
      <c r="D409" s="4" t="s">
        <v>31</v>
      </c>
      <c r="E409" s="4" t="s">
        <v>14</v>
      </c>
      <c r="F409" s="4" t="s">
        <v>15</v>
      </c>
      <c r="G409" s="7">
        <v>178699921183.57</v>
      </c>
    </row>
    <row ht="12.8" outlineLevel="0" r="410" s="4" customFormat="1">
      <c r="A410" s="17">
        <v>43983</v>
      </c>
      <c r="B410" s="4" t="s">
        <v>29</v>
      </c>
      <c r="C410" s="4" t="s">
        <v>30</v>
      </c>
      <c r="D410" s="4" t="s">
        <v>31</v>
      </c>
      <c r="E410" s="4" t="s">
        <v>10</v>
      </c>
      <c r="F410" s="4" t="s">
        <v>11</v>
      </c>
      <c r="G410" s="7">
        <v>409567187176</v>
      </c>
    </row>
    <row ht="12.8" outlineLevel="0" r="411" s="4" customFormat="1">
      <c r="A411" s="17">
        <v>43983</v>
      </c>
      <c r="B411" s="4" t="s">
        <v>12</v>
      </c>
      <c r="C411" s="4" t="s">
        <v>8</v>
      </c>
      <c r="D411" s="4" t="s">
        <v>9</v>
      </c>
      <c r="E411" s="4" t="s">
        <v>10</v>
      </c>
      <c r="F411" s="4" t="s">
        <v>11</v>
      </c>
      <c r="G411" s="7">
        <v>677698670758</v>
      </c>
    </row>
    <row ht="12.8" outlineLevel="0" r="412" s="4" customFormat="1">
      <c r="A412" s="17">
        <v>43983</v>
      </c>
      <c r="B412" s="4" t="s">
        <v>12</v>
      </c>
      <c r="C412" s="4" t="s">
        <v>8</v>
      </c>
      <c r="D412" s="4" t="s">
        <v>9</v>
      </c>
      <c r="E412" s="4" t="s">
        <v>14</v>
      </c>
      <c r="F412" s="4" t="s">
        <v>15</v>
      </c>
      <c r="G412" s="7">
        <v>396036990015.16</v>
      </c>
    </row>
    <row ht="12.8" outlineLevel="0" r="413" s="4" customFormat="1">
      <c r="A413" s="17">
        <v>43983</v>
      </c>
      <c r="B413" s="4" t="s">
        <v>29</v>
      </c>
      <c r="C413" s="4" t="s">
        <v>30</v>
      </c>
      <c r="D413" s="4" t="s">
        <v>31</v>
      </c>
      <c r="E413" s="4" t="s">
        <v>18</v>
      </c>
      <c r="F413" s="4" t="s">
        <v>19</v>
      </c>
      <c r="G413" s="7">
        <v>160280036613.98</v>
      </c>
    </row>
    <row ht="12.8" outlineLevel="0" r="414" s="4" customFormat="1">
      <c r="A414" s="17">
        <v>43983</v>
      </c>
      <c r="B414" s="4" t="s">
        <v>22</v>
      </c>
      <c r="C414" s="4" t="s">
        <v>23</v>
      </c>
      <c r="D414" s="4" t="s">
        <v>24</v>
      </c>
      <c r="E414" s="4" t="s">
        <v>16</v>
      </c>
      <c r="F414" s="4" t="s">
        <v>17</v>
      </c>
      <c r="G414" s="7">
        <v>87606858717.02</v>
      </c>
    </row>
    <row ht="12.8" outlineLevel="0" r="415" s="4" customFormat="1">
      <c r="A415" s="17">
        <v>43983</v>
      </c>
      <c r="B415" s="4" t="s">
        <v>22</v>
      </c>
      <c r="C415" s="4" t="s">
        <v>23</v>
      </c>
      <c r="D415" s="4" t="s">
        <v>24</v>
      </c>
      <c r="E415" s="4" t="s">
        <v>10</v>
      </c>
      <c r="F415" s="4" t="s">
        <v>11</v>
      </c>
      <c r="G415" s="7">
        <v>112480859267.5</v>
      </c>
    </row>
    <row ht="12.8" outlineLevel="0" r="416" s="4" customFormat="1">
      <c r="A416" s="17">
        <v>43983</v>
      </c>
      <c r="B416" s="4" t="s">
        <v>29</v>
      </c>
      <c r="C416" s="4" t="s">
        <v>30</v>
      </c>
      <c r="D416" s="4" t="s">
        <v>31</v>
      </c>
      <c r="E416" s="4" t="s">
        <v>16</v>
      </c>
      <c r="F416" s="4" t="s">
        <v>17</v>
      </c>
      <c r="G416" s="7">
        <v>160280036613.98</v>
      </c>
    </row>
    <row ht="12.8" outlineLevel="0" r="417" s="4" customFormat="1">
      <c r="A417" s="17">
        <v>43983</v>
      </c>
      <c r="B417" s="4" t="s">
        <v>22</v>
      </c>
      <c r="C417" s="4" t="s">
        <v>23</v>
      </c>
      <c r="D417" s="4" t="s">
        <v>24</v>
      </c>
      <c r="E417" s="4" t="s">
        <v>14</v>
      </c>
      <c r="F417" s="4" t="s">
        <v>15</v>
      </c>
      <c r="G417" s="7">
        <v>87737000711.51</v>
      </c>
    </row>
    <row ht="12.8" outlineLevel="0" r="418" s="4" customFormat="1">
      <c r="A418" s="17">
        <v>43952</v>
      </c>
      <c r="B418" s="4" t="s">
        <v>12</v>
      </c>
      <c r="C418" s="4" t="s">
        <v>8</v>
      </c>
      <c r="D418" s="4" t="s">
        <v>9</v>
      </c>
      <c r="E418" s="4" t="s">
        <v>16</v>
      </c>
      <c r="F418" s="4" t="s">
        <v>17</v>
      </c>
      <c r="G418" s="7">
        <v>302259481964.27</v>
      </c>
    </row>
    <row ht="12.8" outlineLevel="0" r="419" s="4" customFormat="1">
      <c r="A419" s="17">
        <v>43952</v>
      </c>
      <c r="B419" s="4" t="s">
        <v>7</v>
      </c>
      <c r="C419" s="4" t="s">
        <v>8</v>
      </c>
      <c r="D419" s="4" t="s">
        <v>9</v>
      </c>
      <c r="E419" s="4" t="s">
        <v>16</v>
      </c>
      <c r="F419" s="4" t="s">
        <v>17</v>
      </c>
      <c r="G419" s="7">
        <v>154169388308.14</v>
      </c>
    </row>
    <row ht="12.8" outlineLevel="0" r="420" s="4" customFormat="1">
      <c r="A420" s="17">
        <v>43952</v>
      </c>
      <c r="B420" s="4" t="s">
        <v>12</v>
      </c>
      <c r="C420" s="4" t="s">
        <v>8</v>
      </c>
      <c r="D420" s="4" t="s">
        <v>9</v>
      </c>
      <c r="E420" s="4" t="s">
        <v>14</v>
      </c>
      <c r="F420" s="4" t="s">
        <v>15</v>
      </c>
      <c r="G420" s="7">
        <v>387009912221.09</v>
      </c>
    </row>
    <row ht="12.8" outlineLevel="0" r="421" s="4" customFormat="1">
      <c r="A421" s="17">
        <v>43952</v>
      </c>
      <c r="B421" s="4" t="s">
        <v>12</v>
      </c>
      <c r="C421" s="4" t="s">
        <v>8</v>
      </c>
      <c r="D421" s="4" t="s">
        <v>9</v>
      </c>
      <c r="E421" s="4" t="s">
        <v>18</v>
      </c>
      <c r="F421" s="4" t="s">
        <v>19</v>
      </c>
      <c r="G421" s="7">
        <v>244987002051.05</v>
      </c>
    </row>
    <row ht="12.8" outlineLevel="0" r="422" s="4" customFormat="1">
      <c r="A422" s="17">
        <v>43952</v>
      </c>
      <c r="B422" s="4" t="s">
        <v>29</v>
      </c>
      <c r="C422" s="4" t="s">
        <v>30</v>
      </c>
      <c r="D422" s="4" t="s">
        <v>31</v>
      </c>
      <c r="E422" s="4" t="s">
        <v>16</v>
      </c>
      <c r="F422" s="4" t="s">
        <v>17</v>
      </c>
      <c r="G422" s="7">
        <v>158796507244.46</v>
      </c>
    </row>
    <row ht="12.8" outlineLevel="0" r="423" s="4" customFormat="1">
      <c r="A423" s="17">
        <v>43952</v>
      </c>
      <c r="B423" s="4" t="s">
        <v>7</v>
      </c>
      <c r="C423" s="4" t="s">
        <v>8</v>
      </c>
      <c r="D423" s="4" t="s">
        <v>9</v>
      </c>
      <c r="E423" s="4" t="s">
        <v>14</v>
      </c>
      <c r="F423" s="4" t="s">
        <v>15</v>
      </c>
      <c r="G423" s="7">
        <v>341416150653.78</v>
      </c>
    </row>
    <row ht="12.8" outlineLevel="0" r="424" s="4" customFormat="1">
      <c r="A424" s="17">
        <v>43952</v>
      </c>
      <c r="B424" s="4" t="s">
        <v>7</v>
      </c>
      <c r="C424" s="4" t="s">
        <v>8</v>
      </c>
      <c r="D424" s="4" t="s">
        <v>9</v>
      </c>
      <c r="E424" s="4" t="s">
        <v>10</v>
      </c>
      <c r="F424" s="4" t="s">
        <v>11</v>
      </c>
      <c r="G424" s="7">
        <v>427243162368.3</v>
      </c>
    </row>
    <row ht="12.8" outlineLevel="0" r="425" s="4" customFormat="1">
      <c r="A425" s="17">
        <v>43952</v>
      </c>
      <c r="B425" s="4" t="s">
        <v>29</v>
      </c>
      <c r="C425" s="4" t="s">
        <v>30</v>
      </c>
      <c r="D425" s="4" t="s">
        <v>31</v>
      </c>
      <c r="E425" s="4" t="s">
        <v>14</v>
      </c>
      <c r="F425" s="4" t="s">
        <v>15</v>
      </c>
      <c r="G425" s="7">
        <v>177765507402.71</v>
      </c>
    </row>
    <row ht="12.8" outlineLevel="0" r="426" s="4" customFormat="1">
      <c r="A426" s="17">
        <v>43952</v>
      </c>
      <c r="B426" s="4" t="s">
        <v>29</v>
      </c>
      <c r="C426" s="4" t="s">
        <v>30</v>
      </c>
      <c r="D426" s="4" t="s">
        <v>31</v>
      </c>
      <c r="E426" s="4" t="s">
        <v>18</v>
      </c>
      <c r="F426" s="4" t="s">
        <v>19</v>
      </c>
      <c r="G426" s="7">
        <v>158796507244.46</v>
      </c>
    </row>
    <row ht="12.8" outlineLevel="0" r="427" s="4" customFormat="1">
      <c r="A427" s="17">
        <v>43952</v>
      </c>
      <c r="B427" s="4" t="s">
        <v>32</v>
      </c>
      <c r="C427" s="4" t="s">
        <v>33</v>
      </c>
      <c r="D427" s="4" t="s">
        <v>34</v>
      </c>
      <c r="E427" s="4" t="s">
        <v>16</v>
      </c>
      <c r="F427" s="4" t="s">
        <v>17</v>
      </c>
      <c r="G427" s="7">
        <v>3020375668.0691</v>
      </c>
    </row>
    <row ht="12.8" outlineLevel="0" r="428" s="4" customFormat="1">
      <c r="A428" s="17">
        <v>43952</v>
      </c>
      <c r="B428" s="4" t="s">
        <v>25</v>
      </c>
      <c r="C428" s="4" t="s">
        <v>23</v>
      </c>
      <c r="D428" s="4" t="s">
        <v>24</v>
      </c>
      <c r="E428" s="4" t="s">
        <v>18</v>
      </c>
      <c r="F428" s="4" t="s">
        <v>19</v>
      </c>
      <c r="G428" s="7">
        <v>340571994439.46</v>
      </c>
    </row>
    <row ht="12.8" outlineLevel="0" r="429" s="4" customFormat="1">
      <c r="A429" s="17">
        <v>43952</v>
      </c>
      <c r="B429" s="4" t="s">
        <v>32</v>
      </c>
      <c r="C429" s="4" t="s">
        <v>33</v>
      </c>
      <c r="D429" s="4" t="s">
        <v>34</v>
      </c>
      <c r="E429" s="4" t="s">
        <v>10</v>
      </c>
      <c r="F429" s="4" t="s">
        <v>11</v>
      </c>
      <c r="G429" s="7">
        <v>44300462262</v>
      </c>
    </row>
    <row ht="12.8" outlineLevel="0" r="430" s="4" customFormat="1">
      <c r="A430" s="17">
        <v>43952</v>
      </c>
      <c r="B430" s="4" t="s">
        <v>32</v>
      </c>
      <c r="C430" s="4" t="s">
        <v>33</v>
      </c>
      <c r="D430" s="4" t="s">
        <v>34</v>
      </c>
      <c r="E430" s="4" t="s">
        <v>18</v>
      </c>
      <c r="F430" s="4" t="s">
        <v>19</v>
      </c>
      <c r="G430" s="7">
        <v>2932400894.0491</v>
      </c>
    </row>
    <row ht="12.8" outlineLevel="0" r="431" s="4" customFormat="1">
      <c r="A431" s="17">
        <v>43952</v>
      </c>
      <c r="B431" s="4" t="s">
        <v>38</v>
      </c>
      <c r="C431" s="4" t="s">
        <v>39</v>
      </c>
      <c r="D431" s="4" t="s">
        <v>40</v>
      </c>
      <c r="E431" s="4" t="s">
        <v>10</v>
      </c>
      <c r="F431" s="4" t="s">
        <v>11</v>
      </c>
      <c r="G431" s="7">
        <v>34279518268</v>
      </c>
    </row>
    <row ht="12.8" outlineLevel="0" r="432" s="4" customFormat="1">
      <c r="A432" s="17">
        <v>43952</v>
      </c>
      <c r="B432" s="4" t="s">
        <v>12</v>
      </c>
      <c r="C432" s="4" t="s">
        <v>8</v>
      </c>
      <c r="D432" s="4" t="s">
        <v>9</v>
      </c>
      <c r="E432" s="4" t="s">
        <v>10</v>
      </c>
      <c r="F432" s="4" t="s">
        <v>11</v>
      </c>
      <c r="G432" s="7">
        <v>464001812778</v>
      </c>
    </row>
    <row ht="12.8" outlineLevel="0" r="433" s="4" customFormat="1">
      <c r="A433" s="17">
        <v>43952</v>
      </c>
      <c r="B433" s="4" t="s">
        <v>7</v>
      </c>
      <c r="C433" s="4" t="s">
        <v>8</v>
      </c>
      <c r="D433" s="4" t="s">
        <v>9</v>
      </c>
      <c r="E433" s="4" t="s">
        <v>18</v>
      </c>
      <c r="F433" s="4" t="s">
        <v>19</v>
      </c>
      <c r="G433" s="7">
        <v>154017314087.22</v>
      </c>
    </row>
    <row ht="12.8" outlineLevel="0" r="434" s="4" customFormat="1">
      <c r="A434" s="17">
        <v>43952</v>
      </c>
      <c r="B434" s="4" t="s">
        <v>26</v>
      </c>
      <c r="C434" s="4" t="s">
        <v>27</v>
      </c>
      <c r="D434" s="4" t="s">
        <v>28</v>
      </c>
      <c r="E434" s="4" t="s">
        <v>18</v>
      </c>
      <c r="F434" s="4" t="s">
        <v>19</v>
      </c>
      <c r="G434" s="7">
        <v>114810417687.372</v>
      </c>
    </row>
    <row ht="12.8" outlineLevel="0" r="435" s="4" customFormat="1">
      <c r="A435" s="17">
        <v>43952</v>
      </c>
      <c r="B435" s="4" t="s">
        <v>29</v>
      </c>
      <c r="C435" s="4" t="s">
        <v>30</v>
      </c>
      <c r="D435" s="4" t="s">
        <v>31</v>
      </c>
      <c r="E435" s="4" t="s">
        <v>10</v>
      </c>
      <c r="F435" s="4" t="s">
        <v>11</v>
      </c>
      <c r="G435" s="7">
        <v>409567187176</v>
      </c>
    </row>
    <row ht="12.8" outlineLevel="0" r="436" s="4" customFormat="1">
      <c r="A436" s="17">
        <v>43952</v>
      </c>
      <c r="B436" s="4" t="s">
        <v>22</v>
      </c>
      <c r="C436" s="4" t="s">
        <v>23</v>
      </c>
      <c r="D436" s="4" t="s">
        <v>24</v>
      </c>
      <c r="E436" s="4" t="s">
        <v>10</v>
      </c>
      <c r="F436" s="4" t="s">
        <v>11</v>
      </c>
      <c r="G436" s="7">
        <v>113453336785</v>
      </c>
    </row>
    <row ht="12.8" outlineLevel="0" r="437" s="4" customFormat="1">
      <c r="A437" s="17">
        <v>43952</v>
      </c>
      <c r="B437" s="4" t="s">
        <v>25</v>
      </c>
      <c r="C437" s="4" t="s">
        <v>23</v>
      </c>
      <c r="D437" s="4" t="s">
        <v>24</v>
      </c>
      <c r="E437" s="4" t="s">
        <v>10</v>
      </c>
      <c r="F437" s="4" t="s">
        <v>11</v>
      </c>
      <c r="G437" s="7">
        <v>1079627888323</v>
      </c>
    </row>
    <row ht="12.8" outlineLevel="0" r="438" s="4" customFormat="1">
      <c r="A438" s="17">
        <v>43952</v>
      </c>
      <c r="B438" s="4" t="s">
        <v>13</v>
      </c>
      <c r="C438" s="4" t="s">
        <v>8</v>
      </c>
      <c r="D438" s="4" t="s">
        <v>9</v>
      </c>
      <c r="E438" s="4" t="s">
        <v>18</v>
      </c>
      <c r="F438" s="4" t="s">
        <v>19</v>
      </c>
      <c r="G438" s="7">
        <v>173832029088.059</v>
      </c>
    </row>
    <row ht="12.8" outlineLevel="0" r="439" s="4" customFormat="1">
      <c r="A439" s="17">
        <v>43952</v>
      </c>
      <c r="B439" s="4" t="s">
        <v>35</v>
      </c>
      <c r="C439" s="4" t="s">
        <v>36</v>
      </c>
      <c r="D439" s="4" t="s">
        <v>37</v>
      </c>
      <c r="E439" s="4" t="s">
        <v>18</v>
      </c>
      <c r="F439" s="4" t="s">
        <v>19</v>
      </c>
      <c r="G439" s="7">
        <v>31331698613.9</v>
      </c>
    </row>
    <row ht="12.8" outlineLevel="0" r="440" s="4" customFormat="1">
      <c r="A440" s="17">
        <v>43952</v>
      </c>
      <c r="B440" s="4" t="s">
        <v>26</v>
      </c>
      <c r="C440" s="4" t="s">
        <v>27</v>
      </c>
      <c r="D440" s="4" t="s">
        <v>28</v>
      </c>
      <c r="E440" s="4" t="s">
        <v>16</v>
      </c>
      <c r="F440" s="4" t="s">
        <v>17</v>
      </c>
      <c r="G440" s="7">
        <v>131088193277.73</v>
      </c>
    </row>
    <row ht="12.8" outlineLevel="0" r="441" s="4" customFormat="1">
      <c r="A441" s="17">
        <v>43952</v>
      </c>
      <c r="B441" s="4" t="s">
        <v>25</v>
      </c>
      <c r="C441" s="4" t="s">
        <v>23</v>
      </c>
      <c r="D441" s="4" t="s">
        <v>24</v>
      </c>
      <c r="E441" s="4" t="s">
        <v>16</v>
      </c>
      <c r="F441" s="4" t="s">
        <v>17</v>
      </c>
      <c r="G441" s="7">
        <v>340571994439.46</v>
      </c>
    </row>
    <row ht="12.8" outlineLevel="0" r="442" s="4" customFormat="1">
      <c r="A442" s="17">
        <v>43952</v>
      </c>
      <c r="B442" s="4" t="s">
        <v>13</v>
      </c>
      <c r="C442" s="4" t="s">
        <v>8</v>
      </c>
      <c r="D442" s="4" t="s">
        <v>9</v>
      </c>
      <c r="E442" s="4" t="s">
        <v>16</v>
      </c>
      <c r="F442" s="4" t="s">
        <v>17</v>
      </c>
      <c r="G442" s="7">
        <v>180226509793.168</v>
      </c>
    </row>
    <row ht="12.8" outlineLevel="0" r="443" s="4" customFormat="1">
      <c r="A443" s="17">
        <v>43952</v>
      </c>
      <c r="B443" s="4" t="s">
        <v>13</v>
      </c>
      <c r="C443" s="4" t="s">
        <v>8</v>
      </c>
      <c r="D443" s="4" t="s">
        <v>9</v>
      </c>
      <c r="E443" s="4" t="s">
        <v>10</v>
      </c>
      <c r="F443" s="4" t="s">
        <v>11</v>
      </c>
      <c r="G443" s="7">
        <v>751804339074.21</v>
      </c>
    </row>
    <row ht="12.8" outlineLevel="0" r="444" s="4" customFormat="1">
      <c r="A444" s="17">
        <v>43952</v>
      </c>
      <c r="B444" s="4" t="s">
        <v>25</v>
      </c>
      <c r="C444" s="4" t="s">
        <v>23</v>
      </c>
      <c r="D444" s="4" t="s">
        <v>24</v>
      </c>
      <c r="E444" s="4" t="s">
        <v>14</v>
      </c>
      <c r="F444" s="4" t="s">
        <v>15</v>
      </c>
      <c r="G444" s="7">
        <v>358001866029.42</v>
      </c>
    </row>
    <row ht="12.8" outlineLevel="0" r="445" s="4" customFormat="1">
      <c r="A445" s="17">
        <v>43952</v>
      </c>
      <c r="B445" s="4" t="s">
        <v>13</v>
      </c>
      <c r="C445" s="4" t="s">
        <v>8</v>
      </c>
      <c r="D445" s="4" t="s">
        <v>9</v>
      </c>
      <c r="E445" s="4" t="s">
        <v>14</v>
      </c>
      <c r="F445" s="4" t="s">
        <v>15</v>
      </c>
      <c r="G445" s="7">
        <v>310945109773.515</v>
      </c>
    </row>
    <row ht="12.8" outlineLevel="0" r="446" s="4" customFormat="1">
      <c r="A446" s="17">
        <v>43952</v>
      </c>
      <c r="B446" s="4" t="s">
        <v>22</v>
      </c>
      <c r="C446" s="4" t="s">
        <v>23</v>
      </c>
      <c r="D446" s="4" t="s">
        <v>24</v>
      </c>
      <c r="E446" s="4" t="s">
        <v>18</v>
      </c>
      <c r="F446" s="4" t="s">
        <v>19</v>
      </c>
      <c r="G446" s="7">
        <v>87589795286.28</v>
      </c>
    </row>
    <row ht="12.8" outlineLevel="0" r="447" s="4" customFormat="1">
      <c r="A447" s="17">
        <v>43952</v>
      </c>
      <c r="B447" s="4" t="s">
        <v>22</v>
      </c>
      <c r="C447" s="4" t="s">
        <v>23</v>
      </c>
      <c r="D447" s="4" t="s">
        <v>24</v>
      </c>
      <c r="E447" s="4" t="s">
        <v>16</v>
      </c>
      <c r="F447" s="4" t="s">
        <v>17</v>
      </c>
      <c r="G447" s="7">
        <v>87589795286.28</v>
      </c>
    </row>
    <row ht="12.8" outlineLevel="0" r="448" s="4" customFormat="1">
      <c r="A448" s="17">
        <v>43952</v>
      </c>
      <c r="B448" s="4" t="s">
        <v>35</v>
      </c>
      <c r="C448" s="4" t="s">
        <v>36</v>
      </c>
      <c r="D448" s="4" t="s">
        <v>37</v>
      </c>
      <c r="E448" s="4" t="s">
        <v>10</v>
      </c>
      <c r="F448" s="4" t="s">
        <v>11</v>
      </c>
      <c r="G448" s="7">
        <v>209177222806</v>
      </c>
    </row>
    <row ht="12.8" outlineLevel="0" r="449" s="4" customFormat="1">
      <c r="A449" s="17">
        <v>43952</v>
      </c>
      <c r="B449" s="4" t="s">
        <v>35</v>
      </c>
      <c r="C449" s="4" t="s">
        <v>36</v>
      </c>
      <c r="D449" s="4" t="s">
        <v>37</v>
      </c>
      <c r="E449" s="4" t="s">
        <v>14</v>
      </c>
      <c r="F449" s="4" t="s">
        <v>15</v>
      </c>
      <c r="G449" s="7">
        <v>84698436419.51</v>
      </c>
    </row>
    <row ht="12.8" outlineLevel="0" r="450" s="4" customFormat="1">
      <c r="A450" s="17">
        <v>43952</v>
      </c>
      <c r="B450" s="4" t="s">
        <v>22</v>
      </c>
      <c r="C450" s="4" t="s">
        <v>23</v>
      </c>
      <c r="D450" s="4" t="s">
        <v>24</v>
      </c>
      <c r="E450" s="4" t="s">
        <v>14</v>
      </c>
      <c r="F450" s="4" t="s">
        <v>15</v>
      </c>
      <c r="G450" s="7">
        <v>87726724511.51</v>
      </c>
    </row>
    <row ht="12.8" outlineLevel="0" r="451" s="4" customFormat="1">
      <c r="A451" s="17">
        <v>43952</v>
      </c>
      <c r="B451" s="4" t="s">
        <v>32</v>
      </c>
      <c r="C451" s="4" t="s">
        <v>33</v>
      </c>
      <c r="D451" s="4" t="s">
        <v>34</v>
      </c>
      <c r="E451" s="4" t="s">
        <v>14</v>
      </c>
      <c r="F451" s="4" t="s">
        <v>15</v>
      </c>
      <c r="G451" s="7">
        <v>15094491367.0063</v>
      </c>
    </row>
    <row ht="12.8" outlineLevel="0" r="452" s="4" customFormat="1">
      <c r="A452" s="17">
        <v>43952</v>
      </c>
      <c r="B452" s="4" t="s">
        <v>35</v>
      </c>
      <c r="C452" s="4" t="s">
        <v>36</v>
      </c>
      <c r="D452" s="4" t="s">
        <v>37</v>
      </c>
      <c r="E452" s="4" t="s">
        <v>16</v>
      </c>
      <c r="F452" s="4" t="s">
        <v>17</v>
      </c>
      <c r="G452" s="7">
        <v>31351631101.17</v>
      </c>
    </row>
    <row ht="12.8" outlineLevel="0" r="453" s="4" customFormat="1">
      <c r="A453" s="17">
        <v>43952</v>
      </c>
      <c r="B453" s="4" t="s">
        <v>26</v>
      </c>
      <c r="C453" s="4" t="s">
        <v>27</v>
      </c>
      <c r="D453" s="4" t="s">
        <v>28</v>
      </c>
      <c r="E453" s="4" t="s">
        <v>14</v>
      </c>
      <c r="F453" s="4" t="s">
        <v>15</v>
      </c>
      <c r="G453" s="7">
        <v>203623811209.096</v>
      </c>
    </row>
    <row ht="12.8" outlineLevel="0" r="454" s="4" customFormat="1">
      <c r="A454" s="17">
        <v>43952</v>
      </c>
      <c r="B454" s="4" t="s">
        <v>26</v>
      </c>
      <c r="C454" s="4" t="s">
        <v>27</v>
      </c>
      <c r="D454" s="4" t="s">
        <v>28</v>
      </c>
      <c r="E454" s="4" t="s">
        <v>10</v>
      </c>
      <c r="F454" s="4" t="s">
        <v>11</v>
      </c>
      <c r="G454" s="7">
        <v>344985718023</v>
      </c>
    </row>
    <row ht="12.8" outlineLevel="0" r="455" s="4" customFormat="1">
      <c r="A455" s="17">
        <v>43922</v>
      </c>
      <c r="B455" s="4" t="s">
        <v>35</v>
      </c>
      <c r="C455" s="4" t="s">
        <v>36</v>
      </c>
      <c r="D455" s="4" t="s">
        <v>37</v>
      </c>
      <c r="E455" s="4" t="s">
        <v>14</v>
      </c>
      <c r="F455" s="4" t="s">
        <v>15</v>
      </c>
      <c r="G455" s="7">
        <v>78429497096.23</v>
      </c>
    </row>
    <row ht="12.8" outlineLevel="0" r="456" s="4" customFormat="1">
      <c r="A456" s="17">
        <v>43922</v>
      </c>
      <c r="B456" s="4" t="s">
        <v>35</v>
      </c>
      <c r="C456" s="4" t="s">
        <v>36</v>
      </c>
      <c r="D456" s="4" t="s">
        <v>37</v>
      </c>
      <c r="E456" s="4" t="s">
        <v>10</v>
      </c>
      <c r="F456" s="4" t="s">
        <v>11</v>
      </c>
      <c r="G456" s="7">
        <v>188281777122</v>
      </c>
    </row>
    <row ht="12.8" outlineLevel="0" r="457" s="4" customFormat="1">
      <c r="A457" s="17">
        <v>43922</v>
      </c>
      <c r="B457" s="4" t="s">
        <v>32</v>
      </c>
      <c r="C457" s="4" t="s">
        <v>33</v>
      </c>
      <c r="D457" s="4" t="s">
        <v>34</v>
      </c>
      <c r="E457" s="4" t="s">
        <v>16</v>
      </c>
      <c r="F457" s="4" t="s">
        <v>17</v>
      </c>
      <c r="G457" s="7">
        <v>2161378402.2959</v>
      </c>
    </row>
    <row ht="12.8" outlineLevel="0" r="458" s="4" customFormat="1">
      <c r="A458" s="17">
        <v>43922</v>
      </c>
      <c r="B458" s="4" t="s">
        <v>32</v>
      </c>
      <c r="C458" s="4" t="s">
        <v>33</v>
      </c>
      <c r="D458" s="4" t="s">
        <v>34</v>
      </c>
      <c r="E458" s="4" t="s">
        <v>10</v>
      </c>
      <c r="F458" s="4" t="s">
        <v>11</v>
      </c>
      <c r="G458" s="7">
        <v>43450109368</v>
      </c>
    </row>
    <row ht="12.8" outlineLevel="0" r="459" s="4" customFormat="1">
      <c r="A459" s="17">
        <v>43922</v>
      </c>
      <c r="B459" s="4" t="s">
        <v>29</v>
      </c>
      <c r="C459" s="4" t="s">
        <v>30</v>
      </c>
      <c r="D459" s="4" t="s">
        <v>31</v>
      </c>
      <c r="E459" s="4" t="s">
        <v>14</v>
      </c>
      <c r="F459" s="4" t="s">
        <v>15</v>
      </c>
      <c r="G459" s="7">
        <v>141696081984.8</v>
      </c>
    </row>
    <row ht="12.8" outlineLevel="0" r="460" s="4" customFormat="1">
      <c r="A460" s="17">
        <v>43922</v>
      </c>
      <c r="B460" s="4" t="s">
        <v>32</v>
      </c>
      <c r="C460" s="4" t="s">
        <v>33</v>
      </c>
      <c r="D460" s="4" t="s">
        <v>34</v>
      </c>
      <c r="E460" s="4" t="s">
        <v>18</v>
      </c>
      <c r="F460" s="4" t="s">
        <v>19</v>
      </c>
      <c r="G460" s="7">
        <v>2092262723.3959</v>
      </c>
    </row>
    <row ht="12.8" outlineLevel="0" r="461" s="4" customFormat="1">
      <c r="A461" s="17">
        <v>43922</v>
      </c>
      <c r="B461" s="4" t="s">
        <v>29</v>
      </c>
      <c r="C461" s="4" t="s">
        <v>30</v>
      </c>
      <c r="D461" s="4" t="s">
        <v>31</v>
      </c>
      <c r="E461" s="4" t="s">
        <v>18</v>
      </c>
      <c r="F461" s="4" t="s">
        <v>19</v>
      </c>
      <c r="G461" s="7">
        <v>139638758273.96</v>
      </c>
    </row>
    <row ht="12.8" outlineLevel="0" r="462" s="4" customFormat="1">
      <c r="A462" s="17">
        <v>43922</v>
      </c>
      <c r="B462" s="4" t="s">
        <v>29</v>
      </c>
      <c r="C462" s="4" t="s">
        <v>30</v>
      </c>
      <c r="D462" s="4" t="s">
        <v>31</v>
      </c>
      <c r="E462" s="4" t="s">
        <v>10</v>
      </c>
      <c r="F462" s="4" t="s">
        <v>11</v>
      </c>
      <c r="G462" s="7">
        <v>409567187176</v>
      </c>
    </row>
    <row ht="12.8" outlineLevel="0" r="463" s="4" customFormat="1">
      <c r="A463" s="17">
        <v>43922</v>
      </c>
      <c r="B463" s="4" t="s">
        <v>29</v>
      </c>
      <c r="C463" s="4" t="s">
        <v>30</v>
      </c>
      <c r="D463" s="4" t="s">
        <v>31</v>
      </c>
      <c r="E463" s="4" t="s">
        <v>16</v>
      </c>
      <c r="F463" s="4" t="s">
        <v>17</v>
      </c>
      <c r="G463" s="7">
        <v>139638758273.96</v>
      </c>
    </row>
    <row ht="12.8" outlineLevel="0" r="464" s="4" customFormat="1">
      <c r="A464" s="17">
        <v>43922</v>
      </c>
      <c r="B464" s="4" t="s">
        <v>12</v>
      </c>
      <c r="C464" s="4" t="s">
        <v>8</v>
      </c>
      <c r="D464" s="4" t="s">
        <v>9</v>
      </c>
      <c r="E464" s="4" t="s">
        <v>16</v>
      </c>
      <c r="F464" s="4" t="s">
        <v>17</v>
      </c>
      <c r="G464" s="7">
        <v>227899697997.98</v>
      </c>
    </row>
    <row ht="12.8" outlineLevel="0" r="465" s="4" customFormat="1">
      <c r="A465" s="17">
        <v>43922</v>
      </c>
      <c r="B465" s="4" t="s">
        <v>12</v>
      </c>
      <c r="C465" s="4" t="s">
        <v>8</v>
      </c>
      <c r="D465" s="4" t="s">
        <v>9</v>
      </c>
      <c r="E465" s="4" t="s">
        <v>10</v>
      </c>
      <c r="F465" s="4" t="s">
        <v>11</v>
      </c>
      <c r="G465" s="7">
        <v>464001812778</v>
      </c>
    </row>
    <row ht="12.8" outlineLevel="0" r="466" s="4" customFormat="1">
      <c r="A466" s="17">
        <v>43922</v>
      </c>
      <c r="B466" s="4" t="s">
        <v>12</v>
      </c>
      <c r="C466" s="4" t="s">
        <v>8</v>
      </c>
      <c r="D466" s="4" t="s">
        <v>9</v>
      </c>
      <c r="E466" s="4" t="s">
        <v>14</v>
      </c>
      <c r="F466" s="4" t="s">
        <v>15</v>
      </c>
      <c r="G466" s="7">
        <v>384003962661.89</v>
      </c>
    </row>
    <row ht="12.8" outlineLevel="0" r="467" s="4" customFormat="1">
      <c r="A467" s="17">
        <v>43922</v>
      </c>
      <c r="B467" s="4" t="s">
        <v>12</v>
      </c>
      <c r="C467" s="4" t="s">
        <v>8</v>
      </c>
      <c r="D467" s="4" t="s">
        <v>9</v>
      </c>
      <c r="E467" s="4" t="s">
        <v>18</v>
      </c>
      <c r="F467" s="4" t="s">
        <v>19</v>
      </c>
      <c r="G467" s="7">
        <v>170423619854.11</v>
      </c>
    </row>
    <row ht="12.8" outlineLevel="0" r="468" s="4" customFormat="1">
      <c r="A468" s="17">
        <v>43922</v>
      </c>
      <c r="B468" s="4" t="s">
        <v>26</v>
      </c>
      <c r="C468" s="4" t="s">
        <v>27</v>
      </c>
      <c r="D468" s="4" t="s">
        <v>28</v>
      </c>
      <c r="E468" s="4" t="s">
        <v>10</v>
      </c>
      <c r="F468" s="4" t="s">
        <v>11</v>
      </c>
      <c r="G468" s="7">
        <v>344633605277</v>
      </c>
    </row>
    <row ht="12.8" outlineLevel="0" r="469" s="4" customFormat="1">
      <c r="A469" s="17">
        <v>43922</v>
      </c>
      <c r="B469" s="4" t="s">
        <v>26</v>
      </c>
      <c r="C469" s="4" t="s">
        <v>27</v>
      </c>
      <c r="D469" s="4" t="s">
        <v>28</v>
      </c>
      <c r="E469" s="4" t="s">
        <v>14</v>
      </c>
      <c r="F469" s="4" t="s">
        <v>15</v>
      </c>
      <c r="G469" s="7">
        <v>196878776039.778</v>
      </c>
    </row>
    <row ht="12.8" outlineLevel="0" r="470" s="4" customFormat="1">
      <c r="A470" s="17">
        <v>43922</v>
      </c>
      <c r="B470" s="4" t="s">
        <v>32</v>
      </c>
      <c r="C470" s="4" t="s">
        <v>33</v>
      </c>
      <c r="D470" s="4" t="s">
        <v>34</v>
      </c>
      <c r="E470" s="4" t="s">
        <v>14</v>
      </c>
      <c r="F470" s="4" t="s">
        <v>15</v>
      </c>
      <c r="G470" s="7">
        <v>13362695829.4727</v>
      </c>
    </row>
    <row ht="12.8" outlineLevel="0" r="471" s="4" customFormat="1">
      <c r="A471" s="17">
        <v>43922</v>
      </c>
      <c r="B471" s="4" t="s">
        <v>26</v>
      </c>
      <c r="C471" s="4" t="s">
        <v>27</v>
      </c>
      <c r="D471" s="4" t="s">
        <v>28</v>
      </c>
      <c r="E471" s="4" t="s">
        <v>18</v>
      </c>
      <c r="F471" s="4" t="s">
        <v>19</v>
      </c>
      <c r="G471" s="7">
        <v>88907190577.9591</v>
      </c>
    </row>
    <row ht="12.8" outlineLevel="0" r="472" s="4" customFormat="1">
      <c r="A472" s="17">
        <v>43922</v>
      </c>
      <c r="B472" s="4" t="s">
        <v>26</v>
      </c>
      <c r="C472" s="4" t="s">
        <v>27</v>
      </c>
      <c r="D472" s="4" t="s">
        <v>28</v>
      </c>
      <c r="E472" s="4" t="s">
        <v>16</v>
      </c>
      <c r="F472" s="4" t="s">
        <v>17</v>
      </c>
      <c r="G472" s="7">
        <v>104942743743.909</v>
      </c>
    </row>
    <row ht="12.8" outlineLevel="0" r="473" s="4" customFormat="1">
      <c r="A473" s="17">
        <v>43922</v>
      </c>
      <c r="B473" s="4" t="s">
        <v>13</v>
      </c>
      <c r="C473" s="4" t="s">
        <v>8</v>
      </c>
      <c r="D473" s="4" t="s">
        <v>9</v>
      </c>
      <c r="E473" s="4" t="s">
        <v>18</v>
      </c>
      <c r="F473" s="4" t="s">
        <v>19</v>
      </c>
      <c r="G473" s="7">
        <v>109165547446.485</v>
      </c>
    </row>
    <row ht="12.8" outlineLevel="0" r="474" s="4" customFormat="1">
      <c r="A474" s="17">
        <v>43922</v>
      </c>
      <c r="B474" s="4" t="s">
        <v>22</v>
      </c>
      <c r="C474" s="4" t="s">
        <v>23</v>
      </c>
      <c r="D474" s="4" t="s">
        <v>24</v>
      </c>
      <c r="E474" s="4" t="s">
        <v>10</v>
      </c>
      <c r="F474" s="4" t="s">
        <v>11</v>
      </c>
      <c r="G474" s="7">
        <v>113453336785</v>
      </c>
    </row>
    <row ht="12.8" outlineLevel="0" r="475" s="4" customFormat="1">
      <c r="A475" s="17">
        <v>43922</v>
      </c>
      <c r="B475" s="4" t="s">
        <v>22</v>
      </c>
      <c r="C475" s="4" t="s">
        <v>23</v>
      </c>
      <c r="D475" s="4" t="s">
        <v>24</v>
      </c>
      <c r="E475" s="4" t="s">
        <v>16</v>
      </c>
      <c r="F475" s="4" t="s">
        <v>17</v>
      </c>
      <c r="G475" s="7">
        <v>87576618233.06</v>
      </c>
    </row>
    <row ht="12.8" outlineLevel="0" r="476" s="4" customFormat="1">
      <c r="A476" s="17">
        <v>43922</v>
      </c>
      <c r="B476" s="4" t="s">
        <v>25</v>
      </c>
      <c r="C476" s="4" t="s">
        <v>23</v>
      </c>
      <c r="D476" s="4" t="s">
        <v>24</v>
      </c>
      <c r="E476" s="4" t="s">
        <v>10</v>
      </c>
      <c r="F476" s="4" t="s">
        <v>11</v>
      </c>
      <c r="G476" s="7">
        <v>1079627888323</v>
      </c>
    </row>
    <row ht="12.8" outlineLevel="0" r="477" s="4" customFormat="1">
      <c r="A477" s="17">
        <v>43922</v>
      </c>
      <c r="B477" s="4" t="s">
        <v>25</v>
      </c>
      <c r="C477" s="4" t="s">
        <v>23</v>
      </c>
      <c r="D477" s="4" t="s">
        <v>24</v>
      </c>
      <c r="E477" s="4" t="s">
        <v>14</v>
      </c>
      <c r="F477" s="4" t="s">
        <v>15</v>
      </c>
      <c r="G477" s="7">
        <v>355901851082.55</v>
      </c>
    </row>
    <row ht="12.8" outlineLevel="0" r="478" s="4" customFormat="1">
      <c r="A478" s="17">
        <v>43922</v>
      </c>
      <c r="B478" s="4" t="s">
        <v>22</v>
      </c>
      <c r="C478" s="4" t="s">
        <v>23</v>
      </c>
      <c r="D478" s="4" t="s">
        <v>24</v>
      </c>
      <c r="E478" s="4" t="s">
        <v>14</v>
      </c>
      <c r="F478" s="4" t="s">
        <v>15</v>
      </c>
      <c r="G478" s="7">
        <v>87725999511.51</v>
      </c>
    </row>
    <row ht="12.8" outlineLevel="0" r="479" s="4" customFormat="1">
      <c r="A479" s="17">
        <v>43922</v>
      </c>
      <c r="B479" s="4" t="s">
        <v>25</v>
      </c>
      <c r="C479" s="4" t="s">
        <v>23</v>
      </c>
      <c r="D479" s="4" t="s">
        <v>24</v>
      </c>
      <c r="E479" s="4" t="s">
        <v>16</v>
      </c>
      <c r="F479" s="4" t="s">
        <v>17</v>
      </c>
      <c r="G479" s="7">
        <v>338089305644.73</v>
      </c>
    </row>
    <row ht="12.8" outlineLevel="0" r="480" s="4" customFormat="1">
      <c r="A480" s="17">
        <v>43922</v>
      </c>
      <c r="B480" s="4" t="s">
        <v>25</v>
      </c>
      <c r="C480" s="4" t="s">
        <v>23</v>
      </c>
      <c r="D480" s="4" t="s">
        <v>24</v>
      </c>
      <c r="E480" s="4" t="s">
        <v>18</v>
      </c>
      <c r="F480" s="4" t="s">
        <v>19</v>
      </c>
      <c r="G480" s="7">
        <v>338089305644.73</v>
      </c>
    </row>
    <row ht="12.8" outlineLevel="0" r="481" s="4" customFormat="1">
      <c r="A481" s="17">
        <v>43922</v>
      </c>
      <c r="B481" s="4" t="s">
        <v>38</v>
      </c>
      <c r="C481" s="4" t="s">
        <v>39</v>
      </c>
      <c r="D481" s="4" t="s">
        <v>40</v>
      </c>
      <c r="E481" s="4" t="s">
        <v>10</v>
      </c>
      <c r="F481" s="4" t="s">
        <v>11</v>
      </c>
      <c r="G481" s="7">
        <v>34576240473</v>
      </c>
    </row>
    <row ht="12.8" outlineLevel="0" r="482" s="4" customFormat="1">
      <c r="A482" s="17">
        <v>43922</v>
      </c>
      <c r="B482" s="4" t="s">
        <v>22</v>
      </c>
      <c r="C482" s="4" t="s">
        <v>23</v>
      </c>
      <c r="D482" s="4" t="s">
        <v>24</v>
      </c>
      <c r="E482" s="4" t="s">
        <v>18</v>
      </c>
      <c r="F482" s="4" t="s">
        <v>19</v>
      </c>
      <c r="G482" s="7">
        <v>87576618233.06</v>
      </c>
    </row>
    <row ht="12.8" outlineLevel="0" r="483" s="4" customFormat="1">
      <c r="A483" s="17">
        <v>43922</v>
      </c>
      <c r="B483" s="4" t="s">
        <v>13</v>
      </c>
      <c r="C483" s="4" t="s">
        <v>8</v>
      </c>
      <c r="D483" s="4" t="s">
        <v>9</v>
      </c>
      <c r="E483" s="4" t="s">
        <v>10</v>
      </c>
      <c r="F483" s="4" t="s">
        <v>11</v>
      </c>
      <c r="G483" s="7">
        <v>718752124792.7</v>
      </c>
    </row>
    <row ht="12.8" outlineLevel="0" r="484" s="4" customFormat="1">
      <c r="A484" s="17">
        <v>43922</v>
      </c>
      <c r="B484" s="4" t="s">
        <v>13</v>
      </c>
      <c r="C484" s="4" t="s">
        <v>8</v>
      </c>
      <c r="D484" s="4" t="s">
        <v>9</v>
      </c>
      <c r="E484" s="4" t="s">
        <v>14</v>
      </c>
      <c r="F484" s="4" t="s">
        <v>15</v>
      </c>
      <c r="G484" s="7">
        <v>282137156629.714</v>
      </c>
    </row>
    <row ht="12.8" outlineLevel="0" r="485" s="4" customFormat="1">
      <c r="A485" s="17">
        <v>43922</v>
      </c>
      <c r="B485" s="4" t="s">
        <v>7</v>
      </c>
      <c r="C485" s="4" t="s">
        <v>8</v>
      </c>
      <c r="D485" s="4" t="s">
        <v>9</v>
      </c>
      <c r="E485" s="4" t="s">
        <v>18</v>
      </c>
      <c r="F485" s="4" t="s">
        <v>19</v>
      </c>
      <c r="G485" s="7">
        <v>120247058281.57</v>
      </c>
    </row>
    <row ht="12.8" outlineLevel="0" r="486" s="4" customFormat="1">
      <c r="A486" s="17">
        <v>43922</v>
      </c>
      <c r="B486" s="4" t="s">
        <v>13</v>
      </c>
      <c r="C486" s="4" t="s">
        <v>8</v>
      </c>
      <c r="D486" s="4" t="s">
        <v>9</v>
      </c>
      <c r="E486" s="4" t="s">
        <v>16</v>
      </c>
      <c r="F486" s="4" t="s">
        <v>17</v>
      </c>
      <c r="G486" s="7">
        <v>114923364646.361</v>
      </c>
    </row>
    <row ht="12.8" outlineLevel="0" r="487" s="4" customFormat="1">
      <c r="A487" s="17">
        <v>43922</v>
      </c>
      <c r="B487" s="4" t="s">
        <v>35</v>
      </c>
      <c r="C487" s="4" t="s">
        <v>36</v>
      </c>
      <c r="D487" s="4" t="s">
        <v>37</v>
      </c>
      <c r="E487" s="4" t="s">
        <v>18</v>
      </c>
      <c r="F487" s="4" t="s">
        <v>19</v>
      </c>
      <c r="G487" s="7">
        <v>28541417113.56</v>
      </c>
    </row>
    <row ht="12.8" outlineLevel="0" r="488" s="4" customFormat="1">
      <c r="A488" s="17">
        <v>43922</v>
      </c>
      <c r="B488" s="4" t="s">
        <v>7</v>
      </c>
      <c r="C488" s="4" t="s">
        <v>8</v>
      </c>
      <c r="D488" s="4" t="s">
        <v>9</v>
      </c>
      <c r="E488" s="4" t="s">
        <v>16</v>
      </c>
      <c r="F488" s="4" t="s">
        <v>17</v>
      </c>
      <c r="G488" s="7">
        <v>120258639208.66</v>
      </c>
    </row>
    <row ht="12.8" outlineLevel="0" r="489" s="4" customFormat="1">
      <c r="A489" s="17">
        <v>43922</v>
      </c>
      <c r="B489" s="4" t="s">
        <v>7</v>
      </c>
      <c r="C489" s="4" t="s">
        <v>8</v>
      </c>
      <c r="D489" s="4" t="s">
        <v>9</v>
      </c>
      <c r="E489" s="4" t="s">
        <v>14</v>
      </c>
      <c r="F489" s="4" t="s">
        <v>15</v>
      </c>
      <c r="G489" s="7">
        <v>326303170223.49</v>
      </c>
    </row>
    <row ht="12.8" outlineLevel="0" r="490" s="4" customFormat="1">
      <c r="A490" s="17">
        <v>43922</v>
      </c>
      <c r="B490" s="4" t="s">
        <v>35</v>
      </c>
      <c r="C490" s="4" t="s">
        <v>36</v>
      </c>
      <c r="D490" s="4" t="s">
        <v>37</v>
      </c>
      <c r="E490" s="4" t="s">
        <v>16</v>
      </c>
      <c r="F490" s="4" t="s">
        <v>17</v>
      </c>
      <c r="G490" s="7">
        <v>28625999964.3</v>
      </c>
    </row>
    <row ht="12.8" outlineLevel="0" r="491" s="4" customFormat="1">
      <c r="A491" s="17">
        <v>43922</v>
      </c>
      <c r="B491" s="4" t="s">
        <v>7</v>
      </c>
      <c r="C491" s="4" t="s">
        <v>8</v>
      </c>
      <c r="D491" s="4" t="s">
        <v>9</v>
      </c>
      <c r="E491" s="4" t="s">
        <v>10</v>
      </c>
      <c r="F491" s="4" t="s">
        <v>11</v>
      </c>
      <c r="G491" s="7">
        <v>414536771944.7</v>
      </c>
    </row>
    <row ht="12.8" outlineLevel="0" r="492" s="4" customFormat="1">
      <c r="A492" s="17">
        <v>43891</v>
      </c>
      <c r="B492" s="4" t="s">
        <v>25</v>
      </c>
      <c r="C492" s="4" t="s">
        <v>23</v>
      </c>
      <c r="D492" s="4" t="s">
        <v>24</v>
      </c>
      <c r="E492" s="4" t="s">
        <v>18</v>
      </c>
      <c r="F492" s="4" t="s">
        <v>19</v>
      </c>
      <c r="G492" s="7">
        <v>198754181953.95</v>
      </c>
    </row>
    <row ht="12.8" outlineLevel="0" r="493" s="4" customFormat="1">
      <c r="A493" s="17">
        <v>43891</v>
      </c>
      <c r="B493" s="4" t="s">
        <v>32</v>
      </c>
      <c r="C493" s="4" t="s">
        <v>33</v>
      </c>
      <c r="D493" s="4" t="s">
        <v>34</v>
      </c>
      <c r="E493" s="4" t="s">
        <v>14</v>
      </c>
      <c r="F493" s="4" t="s">
        <v>15</v>
      </c>
      <c r="G493" s="7">
        <v>4026880136.7031</v>
      </c>
    </row>
    <row ht="12.8" outlineLevel="0" r="494" s="4" customFormat="1">
      <c r="A494" s="17">
        <v>43891</v>
      </c>
      <c r="B494" s="4" t="s">
        <v>29</v>
      </c>
      <c r="C494" s="4" t="s">
        <v>30</v>
      </c>
      <c r="D494" s="4" t="s">
        <v>31</v>
      </c>
      <c r="E494" s="4" t="s">
        <v>14</v>
      </c>
      <c r="F494" s="4" t="s">
        <v>15</v>
      </c>
      <c r="G494" s="7">
        <v>140968684982.14</v>
      </c>
    </row>
    <row ht="12.8" outlineLevel="0" r="495" s="4" customFormat="1">
      <c r="A495" s="17">
        <v>43891</v>
      </c>
      <c r="B495" s="4" t="s">
        <v>32</v>
      </c>
      <c r="C495" s="4" t="s">
        <v>33</v>
      </c>
      <c r="D495" s="4" t="s">
        <v>34</v>
      </c>
      <c r="E495" s="4" t="s">
        <v>10</v>
      </c>
      <c r="F495" s="4" t="s">
        <v>11</v>
      </c>
      <c r="G495" s="7">
        <v>41593624493</v>
      </c>
    </row>
    <row ht="12.8" outlineLevel="0" r="496" s="4" customFormat="1">
      <c r="A496" s="17">
        <v>43891</v>
      </c>
      <c r="B496" s="4" t="s">
        <v>13</v>
      </c>
      <c r="C496" s="4" t="s">
        <v>8</v>
      </c>
      <c r="D496" s="4" t="s">
        <v>9</v>
      </c>
      <c r="E496" s="4" t="s">
        <v>14</v>
      </c>
      <c r="F496" s="4" t="s">
        <v>15</v>
      </c>
      <c r="G496" s="7">
        <v>157714624041.15</v>
      </c>
    </row>
    <row ht="12.8" outlineLevel="0" r="497" s="4" customFormat="1">
      <c r="A497" s="17">
        <v>43891</v>
      </c>
      <c r="B497" s="4" t="s">
        <v>29</v>
      </c>
      <c r="C497" s="4" t="s">
        <v>30</v>
      </c>
      <c r="D497" s="4" t="s">
        <v>31</v>
      </c>
      <c r="E497" s="4" t="s">
        <v>16</v>
      </c>
      <c r="F497" s="4" t="s">
        <v>17</v>
      </c>
      <c r="G497" s="7">
        <v>135123053680.56</v>
      </c>
    </row>
    <row ht="12.8" outlineLevel="0" r="498" s="4" customFormat="1">
      <c r="A498" s="17">
        <v>43891</v>
      </c>
      <c r="B498" s="4" t="s">
        <v>29</v>
      </c>
      <c r="C498" s="4" t="s">
        <v>30</v>
      </c>
      <c r="D498" s="4" t="s">
        <v>31</v>
      </c>
      <c r="E498" s="4" t="s">
        <v>18</v>
      </c>
      <c r="F498" s="4" t="s">
        <v>19</v>
      </c>
      <c r="G498" s="7">
        <v>135123053680.56</v>
      </c>
    </row>
    <row ht="12.8" outlineLevel="0" r="499" s="4" customFormat="1">
      <c r="A499" s="17">
        <v>43891</v>
      </c>
      <c r="B499" s="4" t="s">
        <v>13</v>
      </c>
      <c r="C499" s="4" t="s">
        <v>8</v>
      </c>
      <c r="D499" s="4" t="s">
        <v>9</v>
      </c>
      <c r="E499" s="4" t="s">
        <v>16</v>
      </c>
      <c r="F499" s="4" t="s">
        <v>17</v>
      </c>
      <c r="G499" s="7">
        <v>58738240352.4012</v>
      </c>
    </row>
    <row ht="12.8" outlineLevel="0" r="500" s="4" customFormat="1">
      <c r="A500" s="17">
        <v>43891</v>
      </c>
      <c r="B500" s="4" t="s">
        <v>13</v>
      </c>
      <c r="C500" s="4" t="s">
        <v>8</v>
      </c>
      <c r="D500" s="4" t="s">
        <v>9</v>
      </c>
      <c r="E500" s="4" t="s">
        <v>10</v>
      </c>
      <c r="F500" s="4" t="s">
        <v>11</v>
      </c>
      <c r="G500" s="7">
        <v>536470492204.79</v>
      </c>
    </row>
    <row ht="12.8" outlineLevel="0" r="501" s="4" customFormat="1">
      <c r="A501" s="17">
        <v>43891</v>
      </c>
      <c r="B501" s="4" t="s">
        <v>12</v>
      </c>
      <c r="C501" s="4" t="s">
        <v>8</v>
      </c>
      <c r="D501" s="4" t="s">
        <v>9</v>
      </c>
      <c r="E501" s="4" t="s">
        <v>18</v>
      </c>
      <c r="F501" s="4" t="s">
        <v>19</v>
      </c>
      <c r="G501" s="7">
        <v>114248601285.73</v>
      </c>
    </row>
    <row ht="12.8" outlineLevel="0" r="502" s="4" customFormat="1">
      <c r="A502" s="17">
        <v>43891</v>
      </c>
      <c r="B502" s="4" t="s">
        <v>13</v>
      </c>
      <c r="C502" s="4" t="s">
        <v>8</v>
      </c>
      <c r="D502" s="4" t="s">
        <v>9</v>
      </c>
      <c r="E502" s="4" t="s">
        <v>18</v>
      </c>
      <c r="F502" s="4" t="s">
        <v>19</v>
      </c>
      <c r="G502" s="7">
        <v>54022008319.7527</v>
      </c>
    </row>
    <row ht="12.8" outlineLevel="0" r="503" s="4" customFormat="1">
      <c r="A503" s="17">
        <v>43891</v>
      </c>
      <c r="B503" s="4" t="s">
        <v>12</v>
      </c>
      <c r="C503" s="4" t="s">
        <v>8</v>
      </c>
      <c r="D503" s="4" t="s">
        <v>9</v>
      </c>
      <c r="E503" s="4" t="s">
        <v>10</v>
      </c>
      <c r="F503" s="4" t="s">
        <v>11</v>
      </c>
      <c r="G503" s="7">
        <v>463996482778</v>
      </c>
    </row>
    <row ht="12.8" outlineLevel="0" r="504" s="4" customFormat="1">
      <c r="A504" s="17">
        <v>43891</v>
      </c>
      <c r="B504" s="4" t="s">
        <v>12</v>
      </c>
      <c r="C504" s="4" t="s">
        <v>8</v>
      </c>
      <c r="D504" s="4" t="s">
        <v>9</v>
      </c>
      <c r="E504" s="4" t="s">
        <v>14</v>
      </c>
      <c r="F504" s="4" t="s">
        <v>15</v>
      </c>
      <c r="G504" s="7">
        <v>359413701858.36</v>
      </c>
    </row>
    <row ht="12.8" outlineLevel="0" r="505" s="4" customFormat="1">
      <c r="A505" s="17">
        <v>43891</v>
      </c>
      <c r="B505" s="4" t="s">
        <v>25</v>
      </c>
      <c r="C505" s="4" t="s">
        <v>23</v>
      </c>
      <c r="D505" s="4" t="s">
        <v>24</v>
      </c>
      <c r="E505" s="4" t="s">
        <v>16</v>
      </c>
      <c r="F505" s="4" t="s">
        <v>17</v>
      </c>
      <c r="G505" s="7">
        <v>198754181953.95</v>
      </c>
    </row>
    <row ht="12.8" outlineLevel="0" r="506" s="4" customFormat="1">
      <c r="A506" s="17">
        <v>43891</v>
      </c>
      <c r="B506" s="4" t="s">
        <v>25</v>
      </c>
      <c r="C506" s="4" t="s">
        <v>23</v>
      </c>
      <c r="D506" s="4" t="s">
        <v>24</v>
      </c>
      <c r="E506" s="4" t="s">
        <v>10</v>
      </c>
      <c r="F506" s="4" t="s">
        <v>11</v>
      </c>
      <c r="G506" s="7">
        <v>915223776615</v>
      </c>
    </row>
    <row ht="12.8" outlineLevel="0" r="507" s="4" customFormat="1">
      <c r="A507" s="17">
        <v>43891</v>
      </c>
      <c r="B507" s="4" t="s">
        <v>29</v>
      </c>
      <c r="C507" s="4" t="s">
        <v>30</v>
      </c>
      <c r="D507" s="4" t="s">
        <v>31</v>
      </c>
      <c r="E507" s="4" t="s">
        <v>10</v>
      </c>
      <c r="F507" s="4" t="s">
        <v>11</v>
      </c>
      <c r="G507" s="7">
        <v>409567187176</v>
      </c>
    </row>
    <row ht="12.8" outlineLevel="0" r="508" s="4" customFormat="1">
      <c r="A508" s="17">
        <v>43891</v>
      </c>
      <c r="B508" s="4" t="s">
        <v>25</v>
      </c>
      <c r="C508" s="4" t="s">
        <v>23</v>
      </c>
      <c r="D508" s="4" t="s">
        <v>24</v>
      </c>
      <c r="E508" s="4" t="s">
        <v>14</v>
      </c>
      <c r="F508" s="4" t="s">
        <v>15</v>
      </c>
      <c r="G508" s="7">
        <v>216606272921.64</v>
      </c>
    </row>
    <row ht="12.8" outlineLevel="0" r="509" s="4" customFormat="1">
      <c r="A509" s="17">
        <v>43891</v>
      </c>
      <c r="B509" s="4" t="s">
        <v>12</v>
      </c>
      <c r="C509" s="4" t="s">
        <v>8</v>
      </c>
      <c r="D509" s="4" t="s">
        <v>9</v>
      </c>
      <c r="E509" s="4" t="s">
        <v>16</v>
      </c>
      <c r="F509" s="4" t="s">
        <v>17</v>
      </c>
      <c r="G509" s="7">
        <v>152931491317.18</v>
      </c>
    </row>
    <row ht="12.8" outlineLevel="0" r="510" s="4" customFormat="1">
      <c r="A510" s="17">
        <v>43891</v>
      </c>
      <c r="B510" s="4" t="s">
        <v>26</v>
      </c>
      <c r="C510" s="4" t="s">
        <v>27</v>
      </c>
      <c r="D510" s="4" t="s">
        <v>28</v>
      </c>
      <c r="E510" s="4" t="s">
        <v>16</v>
      </c>
      <c r="F510" s="4" t="s">
        <v>17</v>
      </c>
      <c r="G510" s="7">
        <v>78883084724.3417</v>
      </c>
    </row>
    <row ht="12.8" outlineLevel="0" r="511" s="4" customFormat="1">
      <c r="A511" s="17">
        <v>43891</v>
      </c>
      <c r="B511" s="4" t="s">
        <v>32</v>
      </c>
      <c r="C511" s="4" t="s">
        <v>33</v>
      </c>
      <c r="D511" s="4" t="s">
        <v>34</v>
      </c>
      <c r="E511" s="4" t="s">
        <v>16</v>
      </c>
      <c r="F511" s="4" t="s">
        <v>17</v>
      </c>
      <c r="G511" s="7">
        <v>1087783039.512</v>
      </c>
    </row>
    <row ht="12.8" outlineLevel="0" r="512" s="4" customFormat="1">
      <c r="A512" s="17">
        <v>43891</v>
      </c>
      <c r="B512" s="4" t="s">
        <v>32</v>
      </c>
      <c r="C512" s="4" t="s">
        <v>33</v>
      </c>
      <c r="D512" s="4" t="s">
        <v>34</v>
      </c>
      <c r="E512" s="4" t="s">
        <v>18</v>
      </c>
      <c r="F512" s="4" t="s">
        <v>19</v>
      </c>
      <c r="G512" s="7">
        <v>1052339592.452</v>
      </c>
    </row>
    <row ht="12.8" outlineLevel="0" r="513" s="4" customFormat="1">
      <c r="A513" s="17">
        <v>43891</v>
      </c>
      <c r="B513" s="4" t="s">
        <v>7</v>
      </c>
      <c r="C513" s="4" t="s">
        <v>8</v>
      </c>
      <c r="D513" s="4" t="s">
        <v>9</v>
      </c>
      <c r="E513" s="4" t="s">
        <v>18</v>
      </c>
      <c r="F513" s="4" t="s">
        <v>19</v>
      </c>
      <c r="G513" s="7">
        <v>85815071590.12</v>
      </c>
    </row>
    <row ht="12.8" outlineLevel="0" r="514" s="4" customFormat="1">
      <c r="A514" s="17">
        <v>43891</v>
      </c>
      <c r="B514" s="4" t="s">
        <v>7</v>
      </c>
      <c r="C514" s="4" t="s">
        <v>8</v>
      </c>
      <c r="D514" s="4" t="s">
        <v>9</v>
      </c>
      <c r="E514" s="4" t="s">
        <v>16</v>
      </c>
      <c r="F514" s="4" t="s">
        <v>17</v>
      </c>
      <c r="G514" s="7">
        <v>89319776015.01</v>
      </c>
    </row>
    <row ht="12.8" outlineLevel="0" r="515" s="4" customFormat="1">
      <c r="A515" s="17">
        <v>43891</v>
      </c>
      <c r="B515" s="4" t="s">
        <v>38</v>
      </c>
      <c r="C515" s="4" t="s">
        <v>39</v>
      </c>
      <c r="D515" s="4" t="s">
        <v>40</v>
      </c>
      <c r="E515" s="4" t="s">
        <v>10</v>
      </c>
      <c r="F515" s="4" t="s">
        <v>11</v>
      </c>
      <c r="G515" s="7">
        <v>34753708302</v>
      </c>
    </row>
    <row ht="12.8" outlineLevel="0" r="516" s="4" customFormat="1">
      <c r="A516" s="17">
        <v>43891</v>
      </c>
      <c r="B516" s="4" t="s">
        <v>7</v>
      </c>
      <c r="C516" s="4" t="s">
        <v>8</v>
      </c>
      <c r="D516" s="4" t="s">
        <v>9</v>
      </c>
      <c r="E516" s="4" t="s">
        <v>10</v>
      </c>
      <c r="F516" s="4" t="s">
        <v>11</v>
      </c>
      <c r="G516" s="7">
        <v>390635539121.44</v>
      </c>
    </row>
    <row ht="12.8" outlineLevel="0" r="517" s="4" customFormat="1">
      <c r="A517" s="17">
        <v>43891</v>
      </c>
      <c r="B517" s="4" t="s">
        <v>7</v>
      </c>
      <c r="C517" s="4" t="s">
        <v>8</v>
      </c>
      <c r="D517" s="4" t="s">
        <v>9</v>
      </c>
      <c r="E517" s="4" t="s">
        <v>14</v>
      </c>
      <c r="F517" s="4" t="s">
        <v>15</v>
      </c>
      <c r="G517" s="7">
        <v>295026660598.62</v>
      </c>
    </row>
    <row ht="12.8" outlineLevel="0" r="518" s="4" customFormat="1">
      <c r="A518" s="17">
        <v>43891</v>
      </c>
      <c r="B518" s="4" t="s">
        <v>22</v>
      </c>
      <c r="C518" s="4" t="s">
        <v>23</v>
      </c>
      <c r="D518" s="4" t="s">
        <v>24</v>
      </c>
      <c r="E518" s="4" t="s">
        <v>10</v>
      </c>
      <c r="F518" s="4" t="s">
        <v>11</v>
      </c>
      <c r="G518" s="7">
        <v>277857448493</v>
      </c>
    </row>
    <row ht="12.8" outlineLevel="0" r="519" s="4" customFormat="1">
      <c r="A519" s="17">
        <v>43891</v>
      </c>
      <c r="B519" s="4" t="s">
        <v>22</v>
      </c>
      <c r="C519" s="4" t="s">
        <v>23</v>
      </c>
      <c r="D519" s="4" t="s">
        <v>24</v>
      </c>
      <c r="E519" s="4" t="s">
        <v>14</v>
      </c>
      <c r="F519" s="4" t="s">
        <v>15</v>
      </c>
      <c r="G519" s="7">
        <v>87725999511.51</v>
      </c>
    </row>
    <row ht="12.8" outlineLevel="0" r="520" s="4" customFormat="1">
      <c r="A520" s="17">
        <v>43891</v>
      </c>
      <c r="B520" s="4" t="s">
        <v>22</v>
      </c>
      <c r="C520" s="4" t="s">
        <v>23</v>
      </c>
      <c r="D520" s="4" t="s">
        <v>24</v>
      </c>
      <c r="E520" s="4" t="s">
        <v>16</v>
      </c>
      <c r="F520" s="4" t="s">
        <v>17</v>
      </c>
      <c r="G520" s="7">
        <v>87561659095.5</v>
      </c>
    </row>
    <row ht="12.8" outlineLevel="0" r="521" s="4" customFormat="1">
      <c r="A521" s="17">
        <v>43891</v>
      </c>
      <c r="B521" s="4" t="s">
        <v>22</v>
      </c>
      <c r="C521" s="4" t="s">
        <v>23</v>
      </c>
      <c r="D521" s="4" t="s">
        <v>24</v>
      </c>
      <c r="E521" s="4" t="s">
        <v>18</v>
      </c>
      <c r="F521" s="4" t="s">
        <v>19</v>
      </c>
      <c r="G521" s="7">
        <v>87561659095.5</v>
      </c>
    </row>
    <row ht="12.8" outlineLevel="0" r="522" s="4" customFormat="1">
      <c r="A522" s="17">
        <v>43891</v>
      </c>
      <c r="B522" s="4" t="s">
        <v>26</v>
      </c>
      <c r="C522" s="4" t="s">
        <v>27</v>
      </c>
      <c r="D522" s="4" t="s">
        <v>28</v>
      </c>
      <c r="E522" s="4" t="s">
        <v>14</v>
      </c>
      <c r="F522" s="4" t="s">
        <v>15</v>
      </c>
      <c r="G522" s="7">
        <v>182598960610.153</v>
      </c>
    </row>
    <row ht="12.8" outlineLevel="0" r="523" s="4" customFormat="1">
      <c r="A523" s="17">
        <v>43891</v>
      </c>
      <c r="B523" s="4" t="s">
        <v>26</v>
      </c>
      <c r="C523" s="4" t="s">
        <v>27</v>
      </c>
      <c r="D523" s="4" t="s">
        <v>28</v>
      </c>
      <c r="E523" s="4" t="s">
        <v>18</v>
      </c>
      <c r="F523" s="4" t="s">
        <v>19</v>
      </c>
      <c r="G523" s="7">
        <v>62978277112.1517</v>
      </c>
    </row>
    <row ht="12.8" outlineLevel="0" r="524" s="4" customFormat="1">
      <c r="A524" s="17">
        <v>43891</v>
      </c>
      <c r="B524" s="4" t="s">
        <v>35</v>
      </c>
      <c r="C524" s="4" t="s">
        <v>36</v>
      </c>
      <c r="D524" s="4" t="s">
        <v>37</v>
      </c>
      <c r="E524" s="4" t="s">
        <v>14</v>
      </c>
      <c r="F524" s="4" t="s">
        <v>15</v>
      </c>
      <c r="G524" s="7">
        <v>45903097435.42</v>
      </c>
    </row>
    <row ht="12.8" outlineLevel="0" r="525" s="4" customFormat="1">
      <c r="A525" s="17">
        <v>43891</v>
      </c>
      <c r="B525" s="4" t="s">
        <v>26</v>
      </c>
      <c r="C525" s="4" t="s">
        <v>27</v>
      </c>
      <c r="D525" s="4" t="s">
        <v>28</v>
      </c>
      <c r="E525" s="4" t="s">
        <v>10</v>
      </c>
      <c r="F525" s="4" t="s">
        <v>11</v>
      </c>
      <c r="G525" s="7">
        <v>344614023712</v>
      </c>
    </row>
    <row ht="12.8" outlineLevel="0" r="526" s="4" customFormat="1">
      <c r="A526" s="17">
        <v>43891</v>
      </c>
      <c r="B526" s="4" t="s">
        <v>35</v>
      </c>
      <c r="C526" s="4" t="s">
        <v>36</v>
      </c>
      <c r="D526" s="4" t="s">
        <v>37</v>
      </c>
      <c r="E526" s="4" t="s">
        <v>18</v>
      </c>
      <c r="F526" s="4" t="s">
        <v>19</v>
      </c>
      <c r="G526" s="7">
        <v>9149244253.12</v>
      </c>
    </row>
    <row ht="12.8" outlineLevel="0" r="527" s="4" customFormat="1">
      <c r="A527" s="17">
        <v>43891</v>
      </c>
      <c r="B527" s="4" t="s">
        <v>35</v>
      </c>
      <c r="C527" s="4" t="s">
        <v>36</v>
      </c>
      <c r="D527" s="4" t="s">
        <v>37</v>
      </c>
      <c r="E527" s="4" t="s">
        <v>10</v>
      </c>
      <c r="F527" s="4" t="s">
        <v>11</v>
      </c>
      <c r="G527" s="7">
        <v>154238017122</v>
      </c>
    </row>
    <row ht="12.8" outlineLevel="0" r="528" s="4" customFormat="1">
      <c r="A528" s="17">
        <v>43891</v>
      </c>
      <c r="B528" s="4" t="s">
        <v>35</v>
      </c>
      <c r="C528" s="4" t="s">
        <v>36</v>
      </c>
      <c r="D528" s="4" t="s">
        <v>37</v>
      </c>
      <c r="E528" s="4" t="s">
        <v>16</v>
      </c>
      <c r="F528" s="4" t="s">
        <v>17</v>
      </c>
      <c r="G528" s="7">
        <v>9152629561.99</v>
      </c>
    </row>
    <row ht="12.8" outlineLevel="0" r="529" s="4" customFormat="1">
      <c r="A529" s="17">
        <v>43862</v>
      </c>
      <c r="B529" s="4" t="s">
        <v>13</v>
      </c>
      <c r="C529" s="4" t="s">
        <v>8</v>
      </c>
      <c r="D529" s="4" t="s">
        <v>9</v>
      </c>
      <c r="E529" s="4" t="s">
        <v>10</v>
      </c>
      <c r="F529" s="4" t="s">
        <v>11</v>
      </c>
      <c r="G529" s="7">
        <v>538178690184.03</v>
      </c>
    </row>
    <row ht="12.8" outlineLevel="0" r="530" s="4" customFormat="1">
      <c r="A530" s="17">
        <v>43862</v>
      </c>
      <c r="B530" s="4" t="s">
        <v>13</v>
      </c>
      <c r="C530" s="4" t="s">
        <v>8</v>
      </c>
      <c r="D530" s="4" t="s">
        <v>9</v>
      </c>
      <c r="E530" s="4" t="s">
        <v>14</v>
      </c>
      <c r="F530" s="4" t="s">
        <v>15</v>
      </c>
      <c r="G530" s="7">
        <v>143162044640.862</v>
      </c>
    </row>
    <row ht="12.8" outlineLevel="0" r="531" s="4" customFormat="1">
      <c r="A531" s="17">
        <v>43862</v>
      </c>
      <c r="B531" s="4" t="s">
        <v>35</v>
      </c>
      <c r="C531" s="4" t="s">
        <v>36</v>
      </c>
      <c r="D531" s="4" t="s">
        <v>37</v>
      </c>
      <c r="E531" s="4" t="s">
        <v>16</v>
      </c>
      <c r="F531" s="4" t="s">
        <v>17</v>
      </c>
      <c r="G531" s="7">
        <v>6406584297.18</v>
      </c>
    </row>
    <row ht="12.8" outlineLevel="0" r="532" s="4" customFormat="1">
      <c r="A532" s="17">
        <v>43862</v>
      </c>
      <c r="B532" s="4" t="s">
        <v>22</v>
      </c>
      <c r="C532" s="4" t="s">
        <v>23</v>
      </c>
      <c r="D532" s="4" t="s">
        <v>24</v>
      </c>
      <c r="E532" s="4" t="s">
        <v>14</v>
      </c>
      <c r="F532" s="4" t="s">
        <v>15</v>
      </c>
      <c r="G532" s="7">
        <v>27037892605.51</v>
      </c>
    </row>
    <row ht="12.8" outlineLevel="0" r="533" s="4" customFormat="1">
      <c r="A533" s="17">
        <v>43862</v>
      </c>
      <c r="B533" s="4" t="s">
        <v>12</v>
      </c>
      <c r="C533" s="4" t="s">
        <v>8</v>
      </c>
      <c r="D533" s="4" t="s">
        <v>9</v>
      </c>
      <c r="E533" s="4" t="s">
        <v>10</v>
      </c>
      <c r="F533" s="4" t="s">
        <v>11</v>
      </c>
      <c r="G533" s="7">
        <v>463996482778</v>
      </c>
    </row>
    <row ht="12.8" outlineLevel="0" r="534" s="4" customFormat="1">
      <c r="A534" s="17">
        <v>43862</v>
      </c>
      <c r="B534" s="4" t="s">
        <v>32</v>
      </c>
      <c r="C534" s="4" t="s">
        <v>33</v>
      </c>
      <c r="D534" s="4" t="s">
        <v>34</v>
      </c>
      <c r="E534" s="4" t="s">
        <v>10</v>
      </c>
      <c r="F534" s="4" t="s">
        <v>11</v>
      </c>
      <c r="G534" s="7">
        <v>41472873833</v>
      </c>
    </row>
    <row ht="12.8" outlineLevel="0" r="535" s="4" customFormat="1">
      <c r="A535" s="17">
        <v>43862</v>
      </c>
      <c r="B535" s="4" t="s">
        <v>22</v>
      </c>
      <c r="C535" s="4" t="s">
        <v>23</v>
      </c>
      <c r="D535" s="4" t="s">
        <v>24</v>
      </c>
      <c r="E535" s="4" t="s">
        <v>10</v>
      </c>
      <c r="F535" s="4" t="s">
        <v>11</v>
      </c>
      <c r="G535" s="7">
        <v>277778623401</v>
      </c>
    </row>
    <row ht="12.8" outlineLevel="0" r="536" s="4" customFormat="1">
      <c r="A536" s="17">
        <v>43862</v>
      </c>
      <c r="B536" s="4" t="s">
        <v>12</v>
      </c>
      <c r="C536" s="4" t="s">
        <v>8</v>
      </c>
      <c r="D536" s="4" t="s">
        <v>9</v>
      </c>
      <c r="E536" s="4" t="s">
        <v>16</v>
      </c>
      <c r="F536" s="4" t="s">
        <v>17</v>
      </c>
      <c r="G536" s="7">
        <v>102507642520.99</v>
      </c>
    </row>
    <row ht="12.8" outlineLevel="0" r="537" s="4" customFormat="1">
      <c r="A537" s="17">
        <v>43862</v>
      </c>
      <c r="B537" s="4" t="s">
        <v>12</v>
      </c>
      <c r="C537" s="4" t="s">
        <v>8</v>
      </c>
      <c r="D537" s="4" t="s">
        <v>9</v>
      </c>
      <c r="E537" s="4" t="s">
        <v>14</v>
      </c>
      <c r="F537" s="4" t="s">
        <v>15</v>
      </c>
      <c r="G537" s="7">
        <v>358608185689.59</v>
      </c>
    </row>
    <row ht="12.8" outlineLevel="0" r="538" s="4" customFormat="1">
      <c r="A538" s="17">
        <v>43862</v>
      </c>
      <c r="B538" s="4" t="s">
        <v>35</v>
      </c>
      <c r="C538" s="4" t="s">
        <v>36</v>
      </c>
      <c r="D538" s="4" t="s">
        <v>37</v>
      </c>
      <c r="E538" s="4" t="s">
        <v>14</v>
      </c>
      <c r="F538" s="4" t="s">
        <v>15</v>
      </c>
      <c r="G538" s="7">
        <v>45514601689.01</v>
      </c>
    </row>
    <row ht="12.8" outlineLevel="0" r="539" s="4" customFormat="1">
      <c r="A539" s="17">
        <v>43862</v>
      </c>
      <c r="B539" s="4" t="s">
        <v>26</v>
      </c>
      <c r="C539" s="4" t="s">
        <v>27</v>
      </c>
      <c r="D539" s="4" t="s">
        <v>28</v>
      </c>
      <c r="E539" s="4" t="s">
        <v>18</v>
      </c>
      <c r="F539" s="4" t="s">
        <v>19</v>
      </c>
      <c r="G539" s="7">
        <v>36788391671.2709</v>
      </c>
    </row>
    <row ht="12.8" outlineLevel="0" r="540" s="4" customFormat="1">
      <c r="A540" s="17">
        <v>43862</v>
      </c>
      <c r="B540" s="4" t="s">
        <v>32</v>
      </c>
      <c r="C540" s="4" t="s">
        <v>33</v>
      </c>
      <c r="D540" s="4" t="s">
        <v>34</v>
      </c>
      <c r="E540" s="4" t="s">
        <v>16</v>
      </c>
      <c r="F540" s="4" t="s">
        <v>17</v>
      </c>
      <c r="G540" s="7">
        <v>199824057.7279</v>
      </c>
    </row>
    <row ht="12.8" outlineLevel="0" r="541" s="4" customFormat="1">
      <c r="A541" s="17">
        <v>43862</v>
      </c>
      <c r="B541" s="4" t="s">
        <v>22</v>
      </c>
      <c r="C541" s="4" t="s">
        <v>23</v>
      </c>
      <c r="D541" s="4" t="s">
        <v>24</v>
      </c>
      <c r="E541" s="4" t="s">
        <v>16</v>
      </c>
      <c r="F541" s="4" t="s">
        <v>17</v>
      </c>
      <c r="G541" s="7">
        <v>26727739219.27</v>
      </c>
    </row>
    <row ht="12.8" outlineLevel="0" r="542" s="4" customFormat="1">
      <c r="A542" s="17">
        <v>43862</v>
      </c>
      <c r="B542" s="4" t="s">
        <v>32</v>
      </c>
      <c r="C542" s="4" t="s">
        <v>33</v>
      </c>
      <c r="D542" s="4" t="s">
        <v>34</v>
      </c>
      <c r="E542" s="4" t="s">
        <v>18</v>
      </c>
      <c r="F542" s="4" t="s">
        <v>19</v>
      </c>
      <c r="G542" s="7">
        <v>171401157.0999</v>
      </c>
    </row>
    <row ht="12.8" outlineLevel="0" r="543" s="4" customFormat="1">
      <c r="A543" s="17">
        <v>43862</v>
      </c>
      <c r="B543" s="4" t="s">
        <v>35</v>
      </c>
      <c r="C543" s="4" t="s">
        <v>36</v>
      </c>
      <c r="D543" s="4" t="s">
        <v>37</v>
      </c>
      <c r="E543" s="4" t="s">
        <v>10</v>
      </c>
      <c r="F543" s="4" t="s">
        <v>11</v>
      </c>
      <c r="G543" s="7">
        <v>154238017122</v>
      </c>
    </row>
    <row ht="12.8" outlineLevel="0" r="544" s="4" customFormat="1">
      <c r="A544" s="17">
        <v>43862</v>
      </c>
      <c r="B544" s="4" t="s">
        <v>22</v>
      </c>
      <c r="C544" s="4" t="s">
        <v>23</v>
      </c>
      <c r="D544" s="4" t="s">
        <v>24</v>
      </c>
      <c r="E544" s="4" t="s">
        <v>18</v>
      </c>
      <c r="F544" s="4" t="s">
        <v>19</v>
      </c>
      <c r="G544" s="7">
        <v>26727739219.27</v>
      </c>
    </row>
    <row ht="12.8" outlineLevel="0" r="545" s="4" customFormat="1">
      <c r="A545" s="17">
        <v>43862</v>
      </c>
      <c r="B545" s="4" t="s">
        <v>32</v>
      </c>
      <c r="C545" s="4" t="s">
        <v>33</v>
      </c>
      <c r="D545" s="4" t="s">
        <v>34</v>
      </c>
      <c r="E545" s="4" t="s">
        <v>14</v>
      </c>
      <c r="F545" s="4" t="s">
        <v>15</v>
      </c>
      <c r="G545" s="7">
        <v>2157269779.3856</v>
      </c>
    </row>
    <row ht="12.8" outlineLevel="0" r="546" s="4" customFormat="1">
      <c r="A546" s="17">
        <v>43862</v>
      </c>
      <c r="B546" s="4" t="s">
        <v>35</v>
      </c>
      <c r="C546" s="4" t="s">
        <v>36</v>
      </c>
      <c r="D546" s="4" t="s">
        <v>37</v>
      </c>
      <c r="E546" s="4" t="s">
        <v>18</v>
      </c>
      <c r="F546" s="4" t="s">
        <v>19</v>
      </c>
      <c r="G546" s="7">
        <v>6322588565.88</v>
      </c>
    </row>
    <row ht="12.8" outlineLevel="0" r="547" s="4" customFormat="1">
      <c r="A547" s="17">
        <v>43862</v>
      </c>
      <c r="B547" s="4" t="s">
        <v>12</v>
      </c>
      <c r="C547" s="4" t="s">
        <v>8</v>
      </c>
      <c r="D547" s="4" t="s">
        <v>9</v>
      </c>
      <c r="E547" s="4" t="s">
        <v>18</v>
      </c>
      <c r="F547" s="4" t="s">
        <v>19</v>
      </c>
      <c r="G547" s="7">
        <v>63746527926.58</v>
      </c>
    </row>
    <row ht="12.8" outlineLevel="0" r="548" s="4" customFormat="1">
      <c r="A548" s="17">
        <v>43862</v>
      </c>
      <c r="B548" s="4" t="s">
        <v>29</v>
      </c>
      <c r="C548" s="4" t="s">
        <v>30</v>
      </c>
      <c r="D548" s="4" t="s">
        <v>31</v>
      </c>
      <c r="E548" s="4" t="s">
        <v>16</v>
      </c>
      <c r="F548" s="4" t="s">
        <v>17</v>
      </c>
      <c r="G548" s="7">
        <v>100534427988.76</v>
      </c>
    </row>
    <row ht="12.8" outlineLevel="0" r="549" s="4" customFormat="1">
      <c r="A549" s="17">
        <v>43862</v>
      </c>
      <c r="B549" s="4" t="s">
        <v>29</v>
      </c>
      <c r="C549" s="4" t="s">
        <v>30</v>
      </c>
      <c r="D549" s="4" t="s">
        <v>31</v>
      </c>
      <c r="E549" s="4" t="s">
        <v>14</v>
      </c>
      <c r="F549" s="4" t="s">
        <v>15</v>
      </c>
      <c r="G549" s="7">
        <v>110821260459.16</v>
      </c>
    </row>
    <row ht="12.8" outlineLevel="0" r="550" s="4" customFormat="1">
      <c r="A550" s="17">
        <v>43862</v>
      </c>
      <c r="B550" s="4" t="s">
        <v>25</v>
      </c>
      <c r="C550" s="4" t="s">
        <v>23</v>
      </c>
      <c r="D550" s="4" t="s">
        <v>24</v>
      </c>
      <c r="E550" s="4" t="s">
        <v>16</v>
      </c>
      <c r="F550" s="4" t="s">
        <v>17</v>
      </c>
      <c r="G550" s="7">
        <v>94369835041.73</v>
      </c>
    </row>
    <row ht="12.8" outlineLevel="0" r="551" s="4" customFormat="1">
      <c r="A551" s="17">
        <v>43862</v>
      </c>
      <c r="B551" s="4" t="s">
        <v>25</v>
      </c>
      <c r="C551" s="4" t="s">
        <v>23</v>
      </c>
      <c r="D551" s="4" t="s">
        <v>24</v>
      </c>
      <c r="E551" s="4" t="s">
        <v>14</v>
      </c>
      <c r="F551" s="4" t="s">
        <v>15</v>
      </c>
      <c r="G551" s="7">
        <v>110660891513.27</v>
      </c>
    </row>
    <row ht="12.8" outlineLevel="0" r="552" s="4" customFormat="1">
      <c r="A552" s="17">
        <v>43862</v>
      </c>
      <c r="B552" s="4" t="s">
        <v>29</v>
      </c>
      <c r="C552" s="4" t="s">
        <v>30</v>
      </c>
      <c r="D552" s="4" t="s">
        <v>31</v>
      </c>
      <c r="E552" s="4" t="s">
        <v>10</v>
      </c>
      <c r="F552" s="4" t="s">
        <v>11</v>
      </c>
      <c r="G552" s="7">
        <v>409567187176</v>
      </c>
    </row>
    <row ht="12.8" outlineLevel="0" r="553" s="4" customFormat="1">
      <c r="A553" s="17">
        <v>43862</v>
      </c>
      <c r="B553" s="4" t="s">
        <v>26</v>
      </c>
      <c r="C553" s="4" t="s">
        <v>27</v>
      </c>
      <c r="D553" s="4" t="s">
        <v>28</v>
      </c>
      <c r="E553" s="4" t="s">
        <v>16</v>
      </c>
      <c r="F553" s="4" t="s">
        <v>17</v>
      </c>
      <c r="G553" s="7">
        <v>52633105049.3309</v>
      </c>
    </row>
    <row ht="12.8" outlineLevel="0" r="554" s="4" customFormat="1">
      <c r="A554" s="17">
        <v>43862</v>
      </c>
      <c r="B554" s="4" t="s">
        <v>7</v>
      </c>
      <c r="C554" s="4" t="s">
        <v>8</v>
      </c>
      <c r="D554" s="4" t="s">
        <v>9</v>
      </c>
      <c r="E554" s="4" t="s">
        <v>18</v>
      </c>
      <c r="F554" s="4" t="s">
        <v>19</v>
      </c>
      <c r="G554" s="7">
        <v>57936497795.1</v>
      </c>
    </row>
    <row ht="12.8" outlineLevel="0" r="555" s="4" customFormat="1">
      <c r="A555" s="17">
        <v>43862</v>
      </c>
      <c r="B555" s="4" t="s">
        <v>26</v>
      </c>
      <c r="C555" s="4" t="s">
        <v>27</v>
      </c>
      <c r="D555" s="4" t="s">
        <v>28</v>
      </c>
      <c r="E555" s="4" t="s">
        <v>14</v>
      </c>
      <c r="F555" s="4" t="s">
        <v>15</v>
      </c>
      <c r="G555" s="7">
        <v>170875685669.273</v>
      </c>
    </row>
    <row ht="12.8" outlineLevel="0" r="556" s="4" customFormat="1">
      <c r="A556" s="17">
        <v>43862</v>
      </c>
      <c r="B556" s="4" t="s">
        <v>26</v>
      </c>
      <c r="C556" s="4" t="s">
        <v>27</v>
      </c>
      <c r="D556" s="4" t="s">
        <v>28</v>
      </c>
      <c r="E556" s="4" t="s">
        <v>10</v>
      </c>
      <c r="F556" s="4" t="s">
        <v>11</v>
      </c>
      <c r="G556" s="7">
        <v>344614023712</v>
      </c>
    </row>
    <row ht="12.8" outlineLevel="0" r="557" s="4" customFormat="1">
      <c r="A557" s="17">
        <v>43862</v>
      </c>
      <c r="B557" s="4" t="s">
        <v>38</v>
      </c>
      <c r="C557" s="4" t="s">
        <v>39</v>
      </c>
      <c r="D557" s="4" t="s">
        <v>40</v>
      </c>
      <c r="E557" s="4" t="s">
        <v>10</v>
      </c>
      <c r="F557" s="4" t="s">
        <v>11</v>
      </c>
      <c r="G557" s="7">
        <v>34753708302</v>
      </c>
    </row>
    <row ht="12.8" outlineLevel="0" r="558" s="4" customFormat="1">
      <c r="A558" s="17">
        <v>43862</v>
      </c>
      <c r="B558" s="4" t="s">
        <v>25</v>
      </c>
      <c r="C558" s="4" t="s">
        <v>23</v>
      </c>
      <c r="D558" s="4" t="s">
        <v>24</v>
      </c>
      <c r="E558" s="4" t="s">
        <v>10</v>
      </c>
      <c r="F558" s="4" t="s">
        <v>11</v>
      </c>
      <c r="G558" s="7">
        <v>915302601707</v>
      </c>
    </row>
    <row ht="12.8" outlineLevel="0" r="559" s="4" customFormat="1">
      <c r="A559" s="17">
        <v>43862</v>
      </c>
      <c r="B559" s="4" t="s">
        <v>13</v>
      </c>
      <c r="C559" s="4" t="s">
        <v>8</v>
      </c>
      <c r="D559" s="4" t="s">
        <v>9</v>
      </c>
      <c r="E559" s="4" t="s">
        <v>16</v>
      </c>
      <c r="F559" s="4" t="s">
        <v>17</v>
      </c>
      <c r="G559" s="7">
        <v>36079567262.6375</v>
      </c>
    </row>
    <row ht="12.8" outlineLevel="0" r="560" s="4" customFormat="1">
      <c r="A560" s="17">
        <v>43862</v>
      </c>
      <c r="B560" s="4" t="s">
        <v>13</v>
      </c>
      <c r="C560" s="4" t="s">
        <v>8</v>
      </c>
      <c r="D560" s="4" t="s">
        <v>9</v>
      </c>
      <c r="E560" s="4" t="s">
        <v>18</v>
      </c>
      <c r="F560" s="4" t="s">
        <v>19</v>
      </c>
      <c r="G560" s="7">
        <v>31852662752.8329</v>
      </c>
    </row>
    <row ht="12.8" outlineLevel="0" r="561" s="4" customFormat="1">
      <c r="A561" s="17">
        <v>43862</v>
      </c>
      <c r="B561" s="4" t="s">
        <v>29</v>
      </c>
      <c r="C561" s="4" t="s">
        <v>30</v>
      </c>
      <c r="D561" s="4" t="s">
        <v>31</v>
      </c>
      <c r="E561" s="4" t="s">
        <v>18</v>
      </c>
      <c r="F561" s="4" t="s">
        <v>19</v>
      </c>
      <c r="G561" s="7">
        <v>100534427988.76</v>
      </c>
    </row>
    <row ht="12.8" outlineLevel="0" r="562" s="4" customFormat="1">
      <c r="A562" s="17">
        <v>43862</v>
      </c>
      <c r="B562" s="4" t="s">
        <v>7</v>
      </c>
      <c r="C562" s="4" t="s">
        <v>8</v>
      </c>
      <c r="D562" s="4" t="s">
        <v>9</v>
      </c>
      <c r="E562" s="4" t="s">
        <v>10</v>
      </c>
      <c r="F562" s="4" t="s">
        <v>11</v>
      </c>
      <c r="G562" s="7">
        <v>385613619470.15</v>
      </c>
    </row>
    <row ht="12.8" outlineLevel="0" r="563" s="4" customFormat="1">
      <c r="A563" s="17">
        <v>43862</v>
      </c>
      <c r="B563" s="4" t="s">
        <v>25</v>
      </c>
      <c r="C563" s="4" t="s">
        <v>23</v>
      </c>
      <c r="D563" s="4" t="s">
        <v>24</v>
      </c>
      <c r="E563" s="4" t="s">
        <v>18</v>
      </c>
      <c r="F563" s="4" t="s">
        <v>19</v>
      </c>
      <c r="G563" s="7">
        <v>94369835041.73</v>
      </c>
    </row>
    <row ht="12.8" outlineLevel="0" r="564" s="4" customFormat="1">
      <c r="A564" s="17">
        <v>43862</v>
      </c>
      <c r="B564" s="4" t="s">
        <v>7</v>
      </c>
      <c r="C564" s="4" t="s">
        <v>8</v>
      </c>
      <c r="D564" s="4" t="s">
        <v>9</v>
      </c>
      <c r="E564" s="4" t="s">
        <v>16</v>
      </c>
      <c r="F564" s="4" t="s">
        <v>17</v>
      </c>
      <c r="G564" s="7">
        <v>58058899000.45</v>
      </c>
    </row>
    <row ht="12.8" outlineLevel="0" r="565" s="4" customFormat="1">
      <c r="A565" s="17">
        <v>43862</v>
      </c>
      <c r="B565" s="4" t="s">
        <v>7</v>
      </c>
      <c r="C565" s="4" t="s">
        <v>8</v>
      </c>
      <c r="D565" s="4" t="s">
        <v>9</v>
      </c>
      <c r="E565" s="4" t="s">
        <v>14</v>
      </c>
      <c r="F565" s="4" t="s">
        <v>15</v>
      </c>
      <c r="G565" s="7">
        <v>279430161170.98</v>
      </c>
    </row>
    <row ht="12.8" outlineLevel="0" r="566" s="4" customFormat="1">
      <c r="A566" s="17">
        <v>43831</v>
      </c>
      <c r="B566" s="4" t="s">
        <v>22</v>
      </c>
      <c r="C566" s="4" t="s">
        <v>23</v>
      </c>
      <c r="D566" s="4" t="s">
        <v>24</v>
      </c>
      <c r="E566" s="4" t="s">
        <v>16</v>
      </c>
      <c r="F566" s="4" t="s">
        <v>17</v>
      </c>
      <c r="G566" s="7">
        <v>26711316724.07</v>
      </c>
    </row>
    <row ht="12.8" outlineLevel="0" r="567" s="4" customFormat="1">
      <c r="A567" s="17">
        <v>43831</v>
      </c>
      <c r="B567" s="4" t="s">
        <v>29</v>
      </c>
      <c r="C567" s="4" t="s">
        <v>30</v>
      </c>
      <c r="D567" s="4" t="s">
        <v>31</v>
      </c>
      <c r="E567" s="4" t="s">
        <v>14</v>
      </c>
      <c r="F567" s="4" t="s">
        <v>15</v>
      </c>
      <c r="G567" s="7">
        <v>84426501716.42</v>
      </c>
    </row>
    <row ht="12.8" outlineLevel="0" r="568" s="4" customFormat="1">
      <c r="A568" s="17">
        <v>43831</v>
      </c>
      <c r="B568" s="4" t="s">
        <v>29</v>
      </c>
      <c r="C568" s="4" t="s">
        <v>30</v>
      </c>
      <c r="D568" s="4" t="s">
        <v>31</v>
      </c>
      <c r="E568" s="4" t="s">
        <v>10</v>
      </c>
      <c r="F568" s="4" t="s">
        <v>11</v>
      </c>
      <c r="G568" s="7">
        <v>409567187176</v>
      </c>
    </row>
    <row ht="12.8" outlineLevel="0" r="569" s="4" customFormat="1">
      <c r="A569" s="17">
        <v>43831</v>
      </c>
      <c r="B569" s="4" t="s">
        <v>29</v>
      </c>
      <c r="C569" s="4" t="s">
        <v>30</v>
      </c>
      <c r="D569" s="4" t="s">
        <v>31</v>
      </c>
      <c r="E569" s="4" t="s">
        <v>16</v>
      </c>
      <c r="F569" s="4" t="s">
        <v>17</v>
      </c>
      <c r="G569" s="7">
        <v>73339172031.46</v>
      </c>
    </row>
    <row ht="12.8" outlineLevel="0" r="570" s="4" customFormat="1">
      <c r="A570" s="17">
        <v>43831</v>
      </c>
      <c r="B570" s="4" t="s">
        <v>25</v>
      </c>
      <c r="C570" s="4" t="s">
        <v>23</v>
      </c>
      <c r="D570" s="4" t="s">
        <v>24</v>
      </c>
      <c r="E570" s="4" t="s">
        <v>18</v>
      </c>
      <c r="F570" s="4" t="s">
        <v>19</v>
      </c>
      <c r="G570" s="7">
        <v>91210412397.63</v>
      </c>
    </row>
    <row ht="12.8" outlineLevel="0" r="571" s="4" customFormat="1">
      <c r="A571" s="17">
        <v>43831</v>
      </c>
      <c r="B571" s="4" t="s">
        <v>32</v>
      </c>
      <c r="C571" s="4" t="s">
        <v>33</v>
      </c>
      <c r="D571" s="4" t="s">
        <v>34</v>
      </c>
      <c r="E571" s="4" t="s">
        <v>16</v>
      </c>
      <c r="F571" s="4" t="s">
        <v>17</v>
      </c>
      <c r="G571" s="7">
        <v>36830371.0864</v>
      </c>
    </row>
    <row ht="12.8" outlineLevel="0" r="572" s="4" customFormat="1">
      <c r="A572" s="17">
        <v>43831</v>
      </c>
      <c r="B572" s="4" t="s">
        <v>13</v>
      </c>
      <c r="C572" s="4" t="s">
        <v>8</v>
      </c>
      <c r="D572" s="4" t="s">
        <v>9</v>
      </c>
      <c r="E572" s="4" t="s">
        <v>10</v>
      </c>
      <c r="F572" s="4" t="s">
        <v>11</v>
      </c>
      <c r="G572" s="7">
        <v>538175961267.53</v>
      </c>
    </row>
    <row ht="12.8" outlineLevel="0" r="573" s="4" customFormat="1">
      <c r="A573" s="17">
        <v>43831</v>
      </c>
      <c r="B573" s="4" t="s">
        <v>13</v>
      </c>
      <c r="C573" s="4" t="s">
        <v>8</v>
      </c>
      <c r="D573" s="4" t="s">
        <v>9</v>
      </c>
      <c r="E573" s="4" t="s">
        <v>18</v>
      </c>
      <c r="F573" s="4" t="s">
        <v>19</v>
      </c>
      <c r="G573" s="7">
        <v>12950915758.725</v>
      </c>
    </row>
    <row ht="12.8" outlineLevel="0" r="574" s="4" customFormat="1">
      <c r="A574" s="17">
        <v>43831</v>
      </c>
      <c r="B574" s="4" t="s">
        <v>32</v>
      </c>
      <c r="C574" s="4" t="s">
        <v>33</v>
      </c>
      <c r="D574" s="4" t="s">
        <v>34</v>
      </c>
      <c r="E574" s="4" t="s">
        <v>10</v>
      </c>
      <c r="F574" s="4" t="s">
        <v>11</v>
      </c>
      <c r="G574" s="7">
        <v>41465570947</v>
      </c>
    </row>
    <row ht="12.8" outlineLevel="0" r="575" s="4" customFormat="1">
      <c r="A575" s="17">
        <v>43831</v>
      </c>
      <c r="B575" s="4" t="s">
        <v>25</v>
      </c>
      <c r="C575" s="4" t="s">
        <v>23</v>
      </c>
      <c r="D575" s="4" t="s">
        <v>24</v>
      </c>
      <c r="E575" s="4" t="s">
        <v>14</v>
      </c>
      <c r="F575" s="4" t="s">
        <v>15</v>
      </c>
      <c r="G575" s="7">
        <v>107853006182.58</v>
      </c>
    </row>
    <row ht="12.8" outlineLevel="0" r="576" s="4" customFormat="1">
      <c r="A576" s="17">
        <v>43831</v>
      </c>
      <c r="B576" s="4" t="s">
        <v>26</v>
      </c>
      <c r="C576" s="4" t="s">
        <v>27</v>
      </c>
      <c r="D576" s="4" t="s">
        <v>28</v>
      </c>
      <c r="E576" s="4" t="s">
        <v>18</v>
      </c>
      <c r="F576" s="4" t="s">
        <v>19</v>
      </c>
      <c r="G576" s="7">
        <v>10932854729.5099</v>
      </c>
    </row>
    <row ht="12.8" outlineLevel="0" r="577" s="4" customFormat="1">
      <c r="A577" s="17">
        <v>43831</v>
      </c>
      <c r="B577" s="4" t="s">
        <v>25</v>
      </c>
      <c r="C577" s="4" t="s">
        <v>23</v>
      </c>
      <c r="D577" s="4" t="s">
        <v>24</v>
      </c>
      <c r="E577" s="4" t="s">
        <v>16</v>
      </c>
      <c r="F577" s="4" t="s">
        <v>17</v>
      </c>
      <c r="G577" s="7">
        <v>91210412397.63</v>
      </c>
    </row>
    <row ht="12.8" outlineLevel="0" r="578" s="4" customFormat="1">
      <c r="A578" s="17">
        <v>43831</v>
      </c>
      <c r="B578" s="4" t="s">
        <v>26</v>
      </c>
      <c r="C578" s="4" t="s">
        <v>27</v>
      </c>
      <c r="D578" s="4" t="s">
        <v>28</v>
      </c>
      <c r="E578" s="4" t="s">
        <v>16</v>
      </c>
      <c r="F578" s="4" t="s">
        <v>17</v>
      </c>
      <c r="G578" s="7">
        <v>27491830654.9799</v>
      </c>
    </row>
    <row ht="12.8" outlineLevel="0" r="579" s="4" customFormat="1">
      <c r="A579" s="17">
        <v>43831</v>
      </c>
      <c r="B579" s="4" t="s">
        <v>26</v>
      </c>
      <c r="C579" s="4" t="s">
        <v>27</v>
      </c>
      <c r="D579" s="4" t="s">
        <v>28</v>
      </c>
      <c r="E579" s="4" t="s">
        <v>14</v>
      </c>
      <c r="F579" s="4" t="s">
        <v>15</v>
      </c>
      <c r="G579" s="7">
        <v>157893397842.64</v>
      </c>
    </row>
    <row ht="12.8" outlineLevel="0" r="580" s="4" customFormat="1">
      <c r="A580" s="17">
        <v>43831</v>
      </c>
      <c r="B580" s="4" t="s">
        <v>22</v>
      </c>
      <c r="C580" s="4" t="s">
        <v>23</v>
      </c>
      <c r="D580" s="4" t="s">
        <v>24</v>
      </c>
      <c r="E580" s="4" t="s">
        <v>10</v>
      </c>
      <c r="F580" s="4" t="s">
        <v>11</v>
      </c>
      <c r="G580" s="7">
        <v>277778623401</v>
      </c>
    </row>
    <row ht="12.8" outlineLevel="0" r="581" s="4" customFormat="1">
      <c r="A581" s="17">
        <v>43831</v>
      </c>
      <c r="B581" s="4" t="s">
        <v>22</v>
      </c>
      <c r="C581" s="4" t="s">
        <v>23</v>
      </c>
      <c r="D581" s="4" t="s">
        <v>24</v>
      </c>
      <c r="E581" s="4" t="s">
        <v>14</v>
      </c>
      <c r="F581" s="4" t="s">
        <v>15</v>
      </c>
      <c r="G581" s="7">
        <v>26904692523.01</v>
      </c>
    </row>
    <row ht="12.8" outlineLevel="0" r="582" s="4" customFormat="1">
      <c r="A582" s="17">
        <v>43831</v>
      </c>
      <c r="B582" s="4" t="s">
        <v>25</v>
      </c>
      <c r="C582" s="4" t="s">
        <v>23</v>
      </c>
      <c r="D582" s="4" t="s">
        <v>24</v>
      </c>
      <c r="E582" s="4" t="s">
        <v>10</v>
      </c>
      <c r="F582" s="4" t="s">
        <v>11</v>
      </c>
      <c r="G582" s="7">
        <v>915302601707</v>
      </c>
    </row>
    <row ht="12.8" outlineLevel="0" r="583" s="4" customFormat="1">
      <c r="A583" s="17">
        <v>43831</v>
      </c>
      <c r="B583" s="4" t="s">
        <v>22</v>
      </c>
      <c r="C583" s="4" t="s">
        <v>23</v>
      </c>
      <c r="D583" s="4" t="s">
        <v>24</v>
      </c>
      <c r="E583" s="4" t="s">
        <v>18</v>
      </c>
      <c r="F583" s="4" t="s">
        <v>19</v>
      </c>
      <c r="G583" s="7">
        <v>26711316724.07</v>
      </c>
    </row>
    <row ht="12.8" outlineLevel="0" r="584" s="4" customFormat="1">
      <c r="A584" s="17">
        <v>43831</v>
      </c>
      <c r="B584" s="4" t="s">
        <v>13</v>
      </c>
      <c r="C584" s="4" t="s">
        <v>8</v>
      </c>
      <c r="D584" s="4" t="s">
        <v>9</v>
      </c>
      <c r="E584" s="4" t="s">
        <v>14</v>
      </c>
      <c r="F584" s="4" t="s">
        <v>15</v>
      </c>
      <c r="G584" s="7">
        <v>131481550096.252</v>
      </c>
    </row>
    <row ht="12.8" outlineLevel="0" r="585" s="4" customFormat="1">
      <c r="A585" s="17">
        <v>43831</v>
      </c>
      <c r="B585" s="4" t="s">
        <v>32</v>
      </c>
      <c r="C585" s="4" t="s">
        <v>33</v>
      </c>
      <c r="D585" s="4" t="s">
        <v>34</v>
      </c>
      <c r="E585" s="4" t="s">
        <v>14</v>
      </c>
      <c r="F585" s="4" t="s">
        <v>15</v>
      </c>
      <c r="G585" s="7">
        <v>357971079.9147</v>
      </c>
    </row>
    <row ht="12.8" outlineLevel="0" r="586" s="4" customFormat="1">
      <c r="A586" s="17">
        <v>43831</v>
      </c>
      <c r="B586" s="4" t="s">
        <v>12</v>
      </c>
      <c r="C586" s="4" t="s">
        <v>8</v>
      </c>
      <c r="D586" s="4" t="s">
        <v>9</v>
      </c>
      <c r="E586" s="4" t="s">
        <v>18</v>
      </c>
      <c r="F586" s="4" t="s">
        <v>19</v>
      </c>
      <c r="G586" s="7">
        <v>12810906381.79</v>
      </c>
    </row>
    <row ht="12.8" outlineLevel="0" r="587" s="4" customFormat="1">
      <c r="A587" s="17">
        <v>43831</v>
      </c>
      <c r="B587" s="4" t="s">
        <v>12</v>
      </c>
      <c r="C587" s="4" t="s">
        <v>8</v>
      </c>
      <c r="D587" s="4" t="s">
        <v>9</v>
      </c>
      <c r="E587" s="4" t="s">
        <v>10</v>
      </c>
      <c r="F587" s="4" t="s">
        <v>11</v>
      </c>
      <c r="G587" s="7">
        <v>463996482778</v>
      </c>
    </row>
    <row ht="12.8" outlineLevel="0" r="588" s="4" customFormat="1">
      <c r="A588" s="17">
        <v>43831</v>
      </c>
      <c r="B588" s="4" t="s">
        <v>35</v>
      </c>
      <c r="C588" s="4" t="s">
        <v>36</v>
      </c>
      <c r="D588" s="4" t="s">
        <v>37</v>
      </c>
      <c r="E588" s="4" t="s">
        <v>18</v>
      </c>
      <c r="F588" s="4" t="s">
        <v>19</v>
      </c>
      <c r="G588" s="7">
        <v>1780489412.32</v>
      </c>
    </row>
    <row ht="12.8" outlineLevel="0" r="589" s="4" customFormat="1">
      <c r="A589" s="17">
        <v>43831</v>
      </c>
      <c r="B589" s="4" t="s">
        <v>12</v>
      </c>
      <c r="C589" s="4" t="s">
        <v>8</v>
      </c>
      <c r="D589" s="4" t="s">
        <v>9</v>
      </c>
      <c r="E589" s="4" t="s">
        <v>16</v>
      </c>
      <c r="F589" s="4" t="s">
        <v>17</v>
      </c>
      <c r="G589" s="7">
        <v>51467917252.42</v>
      </c>
    </row>
    <row ht="12.8" outlineLevel="0" r="590" s="4" customFormat="1">
      <c r="A590" s="17">
        <v>43831</v>
      </c>
      <c r="B590" s="4" t="s">
        <v>35</v>
      </c>
      <c r="C590" s="4" t="s">
        <v>36</v>
      </c>
      <c r="D590" s="4" t="s">
        <v>37</v>
      </c>
      <c r="E590" s="4" t="s">
        <v>10</v>
      </c>
      <c r="F590" s="4" t="s">
        <v>11</v>
      </c>
      <c r="G590" s="7">
        <v>154238017122</v>
      </c>
    </row>
    <row ht="12.8" outlineLevel="0" r="591" s="4" customFormat="1">
      <c r="A591" s="17">
        <v>43831</v>
      </c>
      <c r="B591" s="4" t="s">
        <v>29</v>
      </c>
      <c r="C591" s="4" t="s">
        <v>30</v>
      </c>
      <c r="D591" s="4" t="s">
        <v>31</v>
      </c>
      <c r="E591" s="4" t="s">
        <v>18</v>
      </c>
      <c r="F591" s="4" t="s">
        <v>19</v>
      </c>
      <c r="G591" s="7">
        <v>73339172031.46</v>
      </c>
    </row>
    <row ht="12.8" outlineLevel="0" r="592" s="4" customFormat="1">
      <c r="A592" s="17">
        <v>43831</v>
      </c>
      <c r="B592" s="4" t="s">
        <v>35</v>
      </c>
      <c r="C592" s="4" t="s">
        <v>36</v>
      </c>
      <c r="D592" s="4" t="s">
        <v>37</v>
      </c>
      <c r="E592" s="4" t="s">
        <v>16</v>
      </c>
      <c r="F592" s="4" t="s">
        <v>17</v>
      </c>
      <c r="G592" s="7">
        <v>2280926424.6</v>
      </c>
    </row>
    <row ht="12.8" outlineLevel="0" r="593" s="4" customFormat="1">
      <c r="A593" s="17">
        <v>43831</v>
      </c>
      <c r="B593" s="4" t="s">
        <v>35</v>
      </c>
      <c r="C593" s="4" t="s">
        <v>36</v>
      </c>
      <c r="D593" s="4" t="s">
        <v>37</v>
      </c>
      <c r="E593" s="4" t="s">
        <v>14</v>
      </c>
      <c r="F593" s="4" t="s">
        <v>15</v>
      </c>
      <c r="G593" s="7">
        <v>36860829673.2</v>
      </c>
    </row>
    <row ht="12.8" outlineLevel="0" r="594" s="4" customFormat="1">
      <c r="A594" s="17">
        <v>43831</v>
      </c>
      <c r="B594" s="4" t="s">
        <v>7</v>
      </c>
      <c r="C594" s="4" t="s">
        <v>8</v>
      </c>
      <c r="D594" s="4" t="s">
        <v>9</v>
      </c>
      <c r="E594" s="4" t="s">
        <v>14</v>
      </c>
      <c r="F594" s="4" t="s">
        <v>15</v>
      </c>
      <c r="G594" s="7">
        <v>250770518698.45</v>
      </c>
    </row>
    <row ht="12.8" outlineLevel="0" r="595" s="4" customFormat="1">
      <c r="A595" s="17">
        <v>43831</v>
      </c>
      <c r="B595" s="4" t="s">
        <v>7</v>
      </c>
      <c r="C595" s="4" t="s">
        <v>8</v>
      </c>
      <c r="D595" s="4" t="s">
        <v>9</v>
      </c>
      <c r="E595" s="4" t="s">
        <v>16</v>
      </c>
      <c r="F595" s="4" t="s">
        <v>17</v>
      </c>
      <c r="G595" s="7">
        <v>18643266866.69</v>
      </c>
    </row>
    <row ht="12.8" outlineLevel="0" r="596" s="4" customFormat="1">
      <c r="A596" s="17">
        <v>43831</v>
      </c>
      <c r="B596" s="4" t="s">
        <v>13</v>
      </c>
      <c r="C596" s="4" t="s">
        <v>8</v>
      </c>
      <c r="D596" s="4" t="s">
        <v>9</v>
      </c>
      <c r="E596" s="4" t="s">
        <v>16</v>
      </c>
      <c r="F596" s="4" t="s">
        <v>17</v>
      </c>
      <c r="G596" s="7">
        <v>16824741307.5138</v>
      </c>
    </row>
    <row ht="12.8" outlineLevel="0" r="597" s="4" customFormat="1">
      <c r="A597" s="17">
        <v>43831</v>
      </c>
      <c r="B597" s="4" t="s">
        <v>32</v>
      </c>
      <c r="C597" s="4" t="s">
        <v>33</v>
      </c>
      <c r="D597" s="4" t="s">
        <v>34</v>
      </c>
      <c r="E597" s="4" t="s">
        <v>18</v>
      </c>
      <c r="F597" s="4" t="s">
        <v>19</v>
      </c>
      <c r="G597" s="7">
        <v>33193639.7864</v>
      </c>
    </row>
    <row ht="12.8" outlineLevel="0" r="598" s="4" customFormat="1">
      <c r="A598" s="17">
        <v>43831</v>
      </c>
      <c r="B598" s="4" t="s">
        <v>7</v>
      </c>
      <c r="C598" s="4" t="s">
        <v>8</v>
      </c>
      <c r="D598" s="4" t="s">
        <v>9</v>
      </c>
      <c r="E598" s="4" t="s">
        <v>18</v>
      </c>
      <c r="F598" s="4" t="s">
        <v>19</v>
      </c>
      <c r="G598" s="7">
        <v>18643157966.69</v>
      </c>
    </row>
    <row ht="12.8" outlineLevel="0" r="599" s="4" customFormat="1">
      <c r="A599" s="17">
        <v>43831</v>
      </c>
      <c r="B599" s="4" t="s">
        <v>7</v>
      </c>
      <c r="C599" s="4" t="s">
        <v>8</v>
      </c>
      <c r="D599" s="4" t="s">
        <v>9</v>
      </c>
      <c r="E599" s="4" t="s">
        <v>10</v>
      </c>
      <c r="F599" s="4" t="s">
        <v>11</v>
      </c>
      <c r="G599" s="7">
        <v>385616635851.6</v>
      </c>
    </row>
    <row ht="12.8" outlineLevel="0" r="600" s="4" customFormat="1">
      <c r="A600" s="17">
        <v>43831</v>
      </c>
      <c r="B600" s="4" t="s">
        <v>12</v>
      </c>
      <c r="C600" s="4" t="s">
        <v>8</v>
      </c>
      <c r="D600" s="4" t="s">
        <v>9</v>
      </c>
      <c r="E600" s="4" t="s">
        <v>14</v>
      </c>
      <c r="F600" s="4" t="s">
        <v>15</v>
      </c>
      <c r="G600" s="7">
        <v>357969882498.24</v>
      </c>
    </row>
    <row ht="12.8" outlineLevel="0" r="601" s="4" customFormat="1">
      <c r="A601" s="17">
        <v>43831</v>
      </c>
      <c r="B601" s="4" t="s">
        <v>26</v>
      </c>
      <c r="C601" s="4" t="s">
        <v>27</v>
      </c>
      <c r="D601" s="4" t="s">
        <v>28</v>
      </c>
      <c r="E601" s="4" t="s">
        <v>10</v>
      </c>
      <c r="F601" s="4" t="s">
        <v>11</v>
      </c>
      <c r="G601" s="7">
        <v>344614023712</v>
      </c>
    </row>
    <row ht="12.8" outlineLevel="0" r="602" s="4" customFormat="1">
      <c r="A602" s="17">
        <v>43831</v>
      </c>
      <c r="B602" s="4" t="s">
        <v>38</v>
      </c>
      <c r="C602" s="4" t="s">
        <v>39</v>
      </c>
      <c r="D602" s="4" t="s">
        <v>40</v>
      </c>
      <c r="E602" s="4" t="s">
        <v>10</v>
      </c>
      <c r="F602" s="4" t="s">
        <v>11</v>
      </c>
      <c r="G602" s="7">
        <v>34764996105</v>
      </c>
    </row>
    <row ht="12.8" outlineLevel="0" r="603" s="4" customFormat="1">
      <c r="A603" s="17">
        <v>43800</v>
      </c>
      <c r="B603" s="4" t="s">
        <v>13</v>
      </c>
      <c r="C603" s="4" t="s">
        <v>8</v>
      </c>
      <c r="D603" s="4" t="s">
        <v>9</v>
      </c>
      <c r="E603" s="4" t="s">
        <v>18</v>
      </c>
      <c r="F603" s="4" t="s">
        <v>19</v>
      </c>
      <c r="G603" s="7">
        <v>306460773820.194</v>
      </c>
    </row>
    <row ht="12.8" outlineLevel="0" r="604" s="4" customFormat="1">
      <c r="A604" s="17">
        <v>43800</v>
      </c>
      <c r="B604" s="4" t="s">
        <v>35</v>
      </c>
      <c r="C604" s="4" t="s">
        <v>36</v>
      </c>
      <c r="D604" s="4" t="s">
        <v>37</v>
      </c>
      <c r="E604" s="4" t="s">
        <v>18</v>
      </c>
      <c r="F604" s="4" t="s">
        <v>19</v>
      </c>
      <c r="G604" s="7">
        <v>66688751394.9109</v>
      </c>
    </row>
    <row ht="12.8" outlineLevel="0" r="605" s="4" customFormat="1">
      <c r="A605" s="17">
        <v>43800</v>
      </c>
      <c r="B605" s="4" t="s">
        <v>35</v>
      </c>
      <c r="C605" s="4" t="s">
        <v>36</v>
      </c>
      <c r="D605" s="4" t="s">
        <v>37</v>
      </c>
      <c r="E605" s="4" t="s">
        <v>14</v>
      </c>
      <c r="F605" s="4" t="s">
        <v>15</v>
      </c>
      <c r="G605" s="7">
        <v>76636313886.4318</v>
      </c>
    </row>
    <row ht="12.8" outlineLevel="0" r="606" s="4" customFormat="1">
      <c r="A606" s="17">
        <v>43800</v>
      </c>
      <c r="B606" s="4" t="s">
        <v>35</v>
      </c>
      <c r="C606" s="4" t="s">
        <v>36</v>
      </c>
      <c r="D606" s="4" t="s">
        <v>37</v>
      </c>
      <c r="E606" s="4" t="s">
        <v>16</v>
      </c>
      <c r="F606" s="4" t="s">
        <v>17</v>
      </c>
      <c r="G606" s="7">
        <v>66772204397.5609</v>
      </c>
    </row>
    <row ht="12.8" outlineLevel="0" r="607" s="4" customFormat="1">
      <c r="A607" s="17">
        <v>43800</v>
      </c>
      <c r="B607" s="4" t="s">
        <v>35</v>
      </c>
      <c r="C607" s="4" t="s">
        <v>36</v>
      </c>
      <c r="D607" s="4" t="s">
        <v>37</v>
      </c>
      <c r="E607" s="4" t="s">
        <v>10</v>
      </c>
      <c r="F607" s="4" t="s">
        <v>11</v>
      </c>
      <c r="G607" s="7">
        <v>98199027056</v>
      </c>
    </row>
    <row ht="12.8" outlineLevel="0" r="608" s="4" customFormat="1">
      <c r="A608" s="17">
        <v>43800</v>
      </c>
      <c r="B608" s="4" t="s">
        <v>13</v>
      </c>
      <c r="C608" s="4" t="s">
        <v>8</v>
      </c>
      <c r="D608" s="4" t="s">
        <v>9</v>
      </c>
      <c r="E608" s="4" t="s">
        <v>20</v>
      </c>
      <c r="F608" s="4" t="s">
        <v>21</v>
      </c>
      <c r="G608" s="7">
        <v>26474579132.5631</v>
      </c>
    </row>
    <row ht="12.8" outlineLevel="0" r="609" s="4" customFormat="1">
      <c r="A609" s="17">
        <v>43800</v>
      </c>
      <c r="B609" s="4" t="s">
        <v>7</v>
      </c>
      <c r="C609" s="4" t="s">
        <v>8</v>
      </c>
      <c r="D609" s="4" t="s">
        <v>9</v>
      </c>
      <c r="E609" s="4" t="s">
        <v>10</v>
      </c>
      <c r="F609" s="4" t="s">
        <v>11</v>
      </c>
      <c r="G609" s="7">
        <v>393577664966.46</v>
      </c>
    </row>
    <row ht="12.8" outlineLevel="0" r="610" s="4" customFormat="1">
      <c r="A610" s="17">
        <v>43800</v>
      </c>
      <c r="B610" s="4" t="s">
        <v>7</v>
      </c>
      <c r="C610" s="4" t="s">
        <v>8</v>
      </c>
      <c r="D610" s="4" t="s">
        <v>9</v>
      </c>
      <c r="E610" s="4" t="s">
        <v>16</v>
      </c>
      <c r="F610" s="4" t="s">
        <v>17</v>
      </c>
      <c r="G610" s="7">
        <v>376276408067.25</v>
      </c>
    </row>
    <row ht="12.8" outlineLevel="0" r="611" s="4" customFormat="1">
      <c r="A611" s="17">
        <v>43800</v>
      </c>
      <c r="B611" s="4" t="s">
        <v>7</v>
      </c>
      <c r="C611" s="4" t="s">
        <v>8</v>
      </c>
      <c r="D611" s="4" t="s">
        <v>9</v>
      </c>
      <c r="E611" s="4" t="s">
        <v>14</v>
      </c>
      <c r="F611" s="4" t="s">
        <v>15</v>
      </c>
      <c r="G611" s="7">
        <v>391235244072.24</v>
      </c>
    </row>
    <row ht="12.8" outlineLevel="0" r="612" s="4" customFormat="1">
      <c r="A612" s="17">
        <v>43800</v>
      </c>
      <c r="B612" s="4" t="s">
        <v>13</v>
      </c>
      <c r="C612" s="4" t="s">
        <v>8</v>
      </c>
      <c r="D612" s="4" t="s">
        <v>9</v>
      </c>
      <c r="E612" s="4" t="s">
        <v>14</v>
      </c>
      <c r="F612" s="4" t="s">
        <v>15</v>
      </c>
      <c r="G612" s="7">
        <v>337232900036.255</v>
      </c>
    </row>
    <row ht="12.8" outlineLevel="0" r="613" s="4" customFormat="1">
      <c r="A613" s="17">
        <v>43800</v>
      </c>
      <c r="B613" s="4" t="s">
        <v>13</v>
      </c>
      <c r="C613" s="4" t="s">
        <v>8</v>
      </c>
      <c r="D613" s="4" t="s">
        <v>9</v>
      </c>
      <c r="E613" s="4" t="s">
        <v>16</v>
      </c>
      <c r="F613" s="4" t="s">
        <v>17</v>
      </c>
      <c r="G613" s="7">
        <v>310758320903.692</v>
      </c>
    </row>
    <row ht="12.8" outlineLevel="0" r="614" s="4" customFormat="1">
      <c r="A614" s="17">
        <v>43800</v>
      </c>
      <c r="B614" s="4" t="s">
        <v>13</v>
      </c>
      <c r="C614" s="4" t="s">
        <v>8</v>
      </c>
      <c r="D614" s="4" t="s">
        <v>9</v>
      </c>
      <c r="E614" s="4" t="s">
        <v>10</v>
      </c>
      <c r="F614" s="4" t="s">
        <v>11</v>
      </c>
      <c r="G614" s="7">
        <v>347663418919.45</v>
      </c>
    </row>
    <row ht="12.8" outlineLevel="0" r="615" s="4" customFormat="1">
      <c r="A615" s="17">
        <v>43800</v>
      </c>
      <c r="B615" s="4" t="s">
        <v>22</v>
      </c>
      <c r="C615" s="4" t="s">
        <v>23</v>
      </c>
      <c r="D615" s="4" t="s">
        <v>24</v>
      </c>
      <c r="E615" s="4" t="s">
        <v>14</v>
      </c>
      <c r="F615" s="4" t="s">
        <v>15</v>
      </c>
      <c r="G615" s="7">
        <v>275754252586.02</v>
      </c>
    </row>
    <row ht="12.8" outlineLevel="0" r="616" s="4" customFormat="1">
      <c r="A616" s="17">
        <v>43800</v>
      </c>
      <c r="B616" s="4" t="s">
        <v>22</v>
      </c>
      <c r="C616" s="4" t="s">
        <v>23</v>
      </c>
      <c r="D616" s="4" t="s">
        <v>24</v>
      </c>
      <c r="E616" s="4" t="s">
        <v>10</v>
      </c>
      <c r="F616" s="4" t="s">
        <v>11</v>
      </c>
      <c r="G616" s="7">
        <v>311247580719</v>
      </c>
    </row>
    <row ht="12.8" outlineLevel="0" r="617" s="4" customFormat="1">
      <c r="A617" s="17">
        <v>43800</v>
      </c>
      <c r="B617" s="4" t="s">
        <v>22</v>
      </c>
      <c r="C617" s="4" t="s">
        <v>23</v>
      </c>
      <c r="D617" s="4" t="s">
        <v>24</v>
      </c>
      <c r="E617" s="4" t="s">
        <v>20</v>
      </c>
      <c r="F617" s="4" t="s">
        <v>21</v>
      </c>
      <c r="G617" s="7">
        <v>51958206.26</v>
      </c>
    </row>
    <row ht="12.8" outlineLevel="0" r="618" s="4" customFormat="1">
      <c r="A618" s="17">
        <v>43800</v>
      </c>
      <c r="B618" s="4" t="s">
        <v>22</v>
      </c>
      <c r="C618" s="4" t="s">
        <v>23</v>
      </c>
      <c r="D618" s="4" t="s">
        <v>24</v>
      </c>
      <c r="E618" s="4" t="s">
        <v>18</v>
      </c>
      <c r="F618" s="4" t="s">
        <v>19</v>
      </c>
      <c r="G618" s="7">
        <v>275694121156.12</v>
      </c>
    </row>
    <row ht="12.8" outlineLevel="0" r="619" s="4" customFormat="1">
      <c r="A619" s="17">
        <v>43800</v>
      </c>
      <c r="B619" s="4" t="s">
        <v>22</v>
      </c>
      <c r="C619" s="4" t="s">
        <v>23</v>
      </c>
      <c r="D619" s="4" t="s">
        <v>24</v>
      </c>
      <c r="E619" s="4" t="s">
        <v>16</v>
      </c>
      <c r="F619" s="4" t="s">
        <v>17</v>
      </c>
      <c r="G619" s="7">
        <v>275702294379.76</v>
      </c>
    </row>
    <row ht="12.8" outlineLevel="0" r="620" s="4" customFormat="1">
      <c r="A620" s="17">
        <v>43800</v>
      </c>
      <c r="B620" s="4" t="s">
        <v>32</v>
      </c>
      <c r="C620" s="4" t="s">
        <v>33</v>
      </c>
      <c r="D620" s="4" t="s">
        <v>34</v>
      </c>
      <c r="E620" s="4" t="s">
        <v>20</v>
      </c>
      <c r="F620" s="4" t="s">
        <v>21</v>
      </c>
      <c r="G620" s="7">
        <v>25869348266.8898</v>
      </c>
    </row>
    <row ht="12.8" outlineLevel="0" r="621" s="4" customFormat="1">
      <c r="A621" s="17">
        <v>43800</v>
      </c>
      <c r="B621" s="4" t="s">
        <v>32</v>
      </c>
      <c r="C621" s="4" t="s">
        <v>33</v>
      </c>
      <c r="D621" s="4" t="s">
        <v>34</v>
      </c>
      <c r="E621" s="4" t="s">
        <v>10</v>
      </c>
      <c r="F621" s="4" t="s">
        <v>11</v>
      </c>
      <c r="G621" s="7">
        <v>45501706917.96</v>
      </c>
    </row>
    <row ht="12.8" outlineLevel="0" r="622" s="4" customFormat="1">
      <c r="A622" s="17">
        <v>43800</v>
      </c>
      <c r="B622" s="4" t="s">
        <v>35</v>
      </c>
      <c r="C622" s="4" t="s">
        <v>36</v>
      </c>
      <c r="D622" s="4" t="s">
        <v>37</v>
      </c>
      <c r="E622" s="4" t="s">
        <v>20</v>
      </c>
      <c r="F622" s="4" t="s">
        <v>21</v>
      </c>
      <c r="G622" s="7">
        <v>9864109488.8709</v>
      </c>
    </row>
    <row ht="12.8" outlineLevel="0" r="623" s="4" customFormat="1">
      <c r="A623" s="17">
        <v>43800</v>
      </c>
      <c r="B623" s="4" t="s">
        <v>32</v>
      </c>
      <c r="C623" s="4" t="s">
        <v>33</v>
      </c>
      <c r="D623" s="4" t="s">
        <v>34</v>
      </c>
      <c r="E623" s="4" t="s">
        <v>14</v>
      </c>
      <c r="F623" s="4" t="s">
        <v>15</v>
      </c>
      <c r="G623" s="7">
        <v>42499157588.5446</v>
      </c>
    </row>
    <row ht="12.8" outlineLevel="0" r="624" s="4" customFormat="1">
      <c r="A624" s="17">
        <v>43800</v>
      </c>
      <c r="B624" s="4" t="s">
        <v>32</v>
      </c>
      <c r="C624" s="4" t="s">
        <v>33</v>
      </c>
      <c r="D624" s="4" t="s">
        <v>34</v>
      </c>
      <c r="E624" s="4" t="s">
        <v>16</v>
      </c>
      <c r="F624" s="4" t="s">
        <v>17</v>
      </c>
      <c r="G624" s="7">
        <v>16629809321.6547</v>
      </c>
    </row>
    <row ht="12.8" outlineLevel="0" r="625" s="4" customFormat="1">
      <c r="A625" s="17">
        <v>43800</v>
      </c>
      <c r="B625" s="4" t="s">
        <v>32</v>
      </c>
      <c r="C625" s="4" t="s">
        <v>33</v>
      </c>
      <c r="D625" s="4" t="s">
        <v>34</v>
      </c>
      <c r="E625" s="4" t="s">
        <v>18</v>
      </c>
      <c r="F625" s="4" t="s">
        <v>19</v>
      </c>
      <c r="G625" s="7">
        <v>16387001546.8102</v>
      </c>
    </row>
    <row ht="12.8" outlineLevel="0" r="626" s="4" customFormat="1">
      <c r="A626" s="17">
        <v>43800</v>
      </c>
      <c r="B626" s="4" t="s">
        <v>25</v>
      </c>
      <c r="C626" s="4" t="s">
        <v>23</v>
      </c>
      <c r="D626" s="4" t="s">
        <v>24</v>
      </c>
      <c r="E626" s="4" t="s">
        <v>14</v>
      </c>
      <c r="F626" s="4" t="s">
        <v>15</v>
      </c>
      <c r="G626" s="7">
        <v>476780253596.37</v>
      </c>
    </row>
    <row ht="12.8" outlineLevel="0" r="627" s="4" customFormat="1">
      <c r="A627" s="17">
        <v>43800</v>
      </c>
      <c r="B627" s="4" t="s">
        <v>26</v>
      </c>
      <c r="C627" s="4" t="s">
        <v>27</v>
      </c>
      <c r="D627" s="4" t="s">
        <v>28</v>
      </c>
      <c r="E627" s="4" t="s">
        <v>18</v>
      </c>
      <c r="F627" s="4" t="s">
        <v>19</v>
      </c>
      <c r="G627" s="7">
        <v>315187103326.508</v>
      </c>
    </row>
    <row ht="12.8" outlineLevel="0" r="628" s="4" customFormat="1">
      <c r="A628" s="17">
        <v>43800</v>
      </c>
      <c r="B628" s="4" t="s">
        <v>38</v>
      </c>
      <c r="C628" s="4" t="s">
        <v>39</v>
      </c>
      <c r="D628" s="4" t="s">
        <v>40</v>
      </c>
      <c r="E628" s="4" t="s">
        <v>10</v>
      </c>
      <c r="F628" s="4" t="s">
        <v>11</v>
      </c>
      <c r="G628" s="7">
        <v>31064615964</v>
      </c>
    </row>
    <row ht="12.8" outlineLevel="0" r="629" s="4" customFormat="1">
      <c r="A629" s="17">
        <v>43800</v>
      </c>
      <c r="B629" s="4" t="s">
        <v>25</v>
      </c>
      <c r="C629" s="4" t="s">
        <v>23</v>
      </c>
      <c r="D629" s="4" t="s">
        <v>24</v>
      </c>
      <c r="E629" s="4" t="s">
        <v>18</v>
      </c>
      <c r="F629" s="4" t="s">
        <v>19</v>
      </c>
      <c r="G629" s="7">
        <v>476775244773.88</v>
      </c>
    </row>
    <row ht="12.8" outlineLevel="0" r="630" s="4" customFormat="1">
      <c r="A630" s="17">
        <v>43800</v>
      </c>
      <c r="B630" s="4" t="s">
        <v>25</v>
      </c>
      <c r="C630" s="4" t="s">
        <v>23</v>
      </c>
      <c r="D630" s="4" t="s">
        <v>24</v>
      </c>
      <c r="E630" s="4" t="s">
        <v>20</v>
      </c>
      <c r="F630" s="4" t="s">
        <v>21</v>
      </c>
      <c r="G630" s="7">
        <v>5008822.49</v>
      </c>
    </row>
    <row ht="12.8" outlineLevel="0" r="631" s="4" customFormat="1">
      <c r="A631" s="17">
        <v>43800</v>
      </c>
      <c r="B631" s="4" t="s">
        <v>26</v>
      </c>
      <c r="C631" s="4" t="s">
        <v>27</v>
      </c>
      <c r="D631" s="4" t="s">
        <v>28</v>
      </c>
      <c r="E631" s="4" t="s">
        <v>14</v>
      </c>
      <c r="F631" s="4" t="s">
        <v>15</v>
      </c>
      <c r="G631" s="7">
        <v>332953742516.188</v>
      </c>
    </row>
    <row ht="12.8" outlineLevel="0" r="632" s="4" customFormat="1">
      <c r="A632" s="17">
        <v>43800</v>
      </c>
      <c r="B632" s="4" t="s">
        <v>25</v>
      </c>
      <c r="C632" s="4" t="s">
        <v>23</v>
      </c>
      <c r="D632" s="4" t="s">
        <v>24</v>
      </c>
      <c r="E632" s="4" t="s">
        <v>10</v>
      </c>
      <c r="F632" s="4" t="s">
        <v>11</v>
      </c>
      <c r="G632" s="7">
        <v>714086081180</v>
      </c>
    </row>
    <row ht="12.8" outlineLevel="0" r="633" s="4" customFormat="1">
      <c r="A633" s="17">
        <v>43800</v>
      </c>
      <c r="B633" s="4" t="s">
        <v>26</v>
      </c>
      <c r="C633" s="4" t="s">
        <v>27</v>
      </c>
      <c r="D633" s="4" t="s">
        <v>28</v>
      </c>
      <c r="E633" s="4" t="s">
        <v>16</v>
      </c>
      <c r="F633" s="4" t="s">
        <v>17</v>
      </c>
      <c r="G633" s="7">
        <v>332057344915.668</v>
      </c>
    </row>
    <row ht="12.8" outlineLevel="0" r="634" s="4" customFormat="1">
      <c r="A634" s="17">
        <v>43800</v>
      </c>
      <c r="B634" s="4" t="s">
        <v>26</v>
      </c>
      <c r="C634" s="4" t="s">
        <v>27</v>
      </c>
      <c r="D634" s="4" t="s">
        <v>28</v>
      </c>
      <c r="E634" s="4" t="s">
        <v>20</v>
      </c>
      <c r="F634" s="4" t="s">
        <v>21</v>
      </c>
      <c r="G634" s="7">
        <v>896397600.52</v>
      </c>
    </row>
    <row ht="12.8" outlineLevel="0" r="635" s="4" customFormat="1">
      <c r="A635" s="17">
        <v>43800</v>
      </c>
      <c r="B635" s="4" t="s">
        <v>26</v>
      </c>
      <c r="C635" s="4" t="s">
        <v>27</v>
      </c>
      <c r="D635" s="4" t="s">
        <v>28</v>
      </c>
      <c r="E635" s="4" t="s">
        <v>10</v>
      </c>
      <c r="F635" s="4" t="s">
        <v>11</v>
      </c>
      <c r="G635" s="7">
        <v>344307766871</v>
      </c>
    </row>
    <row ht="12.8" outlineLevel="0" r="636" s="4" customFormat="1">
      <c r="A636" s="17">
        <v>43800</v>
      </c>
      <c r="B636" s="4" t="s">
        <v>29</v>
      </c>
      <c r="C636" s="4" t="s">
        <v>30</v>
      </c>
      <c r="D636" s="4" t="s">
        <v>31</v>
      </c>
      <c r="E636" s="4" t="s">
        <v>16</v>
      </c>
      <c r="F636" s="4" t="s">
        <v>17</v>
      </c>
      <c r="G636" s="7">
        <v>285094617018.5</v>
      </c>
    </row>
    <row ht="12.8" outlineLevel="0" r="637" s="4" customFormat="1">
      <c r="A637" s="17">
        <v>43800</v>
      </c>
      <c r="B637" s="4" t="s">
        <v>29</v>
      </c>
      <c r="C637" s="4" t="s">
        <v>30</v>
      </c>
      <c r="D637" s="4" t="s">
        <v>31</v>
      </c>
      <c r="E637" s="4" t="s">
        <v>10</v>
      </c>
      <c r="F637" s="4" t="s">
        <v>11</v>
      </c>
      <c r="G637" s="7">
        <v>399648667332</v>
      </c>
    </row>
    <row ht="12.8" outlineLevel="0" r="638" s="4" customFormat="1">
      <c r="A638" s="17">
        <v>43800</v>
      </c>
      <c r="B638" s="4" t="s">
        <v>12</v>
      </c>
      <c r="C638" s="4" t="s">
        <v>8</v>
      </c>
      <c r="D638" s="4" t="s">
        <v>9</v>
      </c>
      <c r="E638" s="4" t="s">
        <v>18</v>
      </c>
      <c r="F638" s="4" t="s">
        <v>19</v>
      </c>
      <c r="G638" s="7">
        <v>592841864682.65</v>
      </c>
    </row>
    <row ht="12.8" outlineLevel="0" r="639" s="4" customFormat="1">
      <c r="A639" s="17">
        <v>43800</v>
      </c>
      <c r="B639" s="4" t="s">
        <v>12</v>
      </c>
      <c r="C639" s="4" t="s">
        <v>8</v>
      </c>
      <c r="D639" s="4" t="s">
        <v>9</v>
      </c>
      <c r="E639" s="4" t="s">
        <v>16</v>
      </c>
      <c r="F639" s="4" t="s">
        <v>17</v>
      </c>
      <c r="G639" s="7">
        <v>628240616332.99</v>
      </c>
    </row>
    <row ht="12.8" outlineLevel="0" r="640" s="4" customFormat="1">
      <c r="A640" s="17">
        <v>43800</v>
      </c>
      <c r="B640" s="4" t="s">
        <v>12</v>
      </c>
      <c r="C640" s="4" t="s">
        <v>8</v>
      </c>
      <c r="D640" s="4" t="s">
        <v>9</v>
      </c>
      <c r="E640" s="4" t="s">
        <v>20</v>
      </c>
      <c r="F640" s="4" t="s">
        <v>21</v>
      </c>
      <c r="G640" s="7">
        <v>227942164.33</v>
      </c>
    </row>
    <row ht="12.8" outlineLevel="0" r="641" s="4" customFormat="1">
      <c r="A641" s="17">
        <v>43800</v>
      </c>
      <c r="B641" s="4" t="s">
        <v>7</v>
      </c>
      <c r="C641" s="4" t="s">
        <v>8</v>
      </c>
      <c r="D641" s="4" t="s">
        <v>9</v>
      </c>
      <c r="E641" s="4" t="s">
        <v>18</v>
      </c>
      <c r="F641" s="4" t="s">
        <v>19</v>
      </c>
      <c r="G641" s="7">
        <v>375778451878.35</v>
      </c>
    </row>
    <row ht="12.8" outlineLevel="0" r="642" s="4" customFormat="1">
      <c r="A642" s="17">
        <v>43800</v>
      </c>
      <c r="B642" s="4" t="s">
        <v>7</v>
      </c>
      <c r="C642" s="4" t="s">
        <v>8</v>
      </c>
      <c r="D642" s="4" t="s">
        <v>9</v>
      </c>
      <c r="E642" s="4" t="s">
        <v>20</v>
      </c>
      <c r="F642" s="4" t="s">
        <v>21</v>
      </c>
      <c r="G642" s="7">
        <v>14958836004.99</v>
      </c>
    </row>
    <row ht="12.8" outlineLevel="0" r="643" s="4" customFormat="1">
      <c r="A643" s="17">
        <v>43800</v>
      </c>
      <c r="B643" s="4" t="s">
        <v>12</v>
      </c>
      <c r="C643" s="4" t="s">
        <v>8</v>
      </c>
      <c r="D643" s="4" t="s">
        <v>9</v>
      </c>
      <c r="E643" s="4" t="s">
        <v>10</v>
      </c>
      <c r="F643" s="4" t="s">
        <v>11</v>
      </c>
      <c r="G643" s="7">
        <v>628901646846</v>
      </c>
    </row>
    <row ht="12.8" outlineLevel="0" r="644" s="4" customFormat="1">
      <c r="A644" s="17">
        <v>43800</v>
      </c>
      <c r="B644" s="4" t="s">
        <v>25</v>
      </c>
      <c r="C644" s="4" t="s">
        <v>23</v>
      </c>
      <c r="D644" s="4" t="s">
        <v>24</v>
      </c>
      <c r="E644" s="4" t="s">
        <v>16</v>
      </c>
      <c r="F644" s="4" t="s">
        <v>17</v>
      </c>
      <c r="G644" s="7">
        <v>476775244773.88</v>
      </c>
    </row>
    <row ht="12.8" outlineLevel="0" r="645" s="4" customFormat="1">
      <c r="A645" s="17">
        <v>43800</v>
      </c>
      <c r="B645" s="4" t="s">
        <v>29</v>
      </c>
      <c r="C645" s="4" t="s">
        <v>30</v>
      </c>
      <c r="D645" s="4" t="s">
        <v>31</v>
      </c>
      <c r="E645" s="4" t="s">
        <v>18</v>
      </c>
      <c r="F645" s="4" t="s">
        <v>19</v>
      </c>
      <c r="G645" s="7">
        <v>285094343405.82</v>
      </c>
    </row>
    <row ht="12.8" outlineLevel="0" r="646" s="4" customFormat="1">
      <c r="A646" s="17">
        <v>43800</v>
      </c>
      <c r="B646" s="4" t="s">
        <v>29</v>
      </c>
      <c r="C646" s="4" t="s">
        <v>30</v>
      </c>
      <c r="D646" s="4" t="s">
        <v>31</v>
      </c>
      <c r="E646" s="4" t="s">
        <v>14</v>
      </c>
      <c r="F646" s="4" t="s">
        <v>15</v>
      </c>
      <c r="G646" s="7">
        <v>285231007488.22</v>
      </c>
    </row>
    <row ht="12.8" outlineLevel="0" r="647" s="4" customFormat="1">
      <c r="A647" s="17">
        <v>43800</v>
      </c>
      <c r="B647" s="4" t="s">
        <v>12</v>
      </c>
      <c r="C647" s="4" t="s">
        <v>8</v>
      </c>
      <c r="D647" s="4" t="s">
        <v>9</v>
      </c>
      <c r="E647" s="4" t="s">
        <v>14</v>
      </c>
      <c r="F647" s="4" t="s">
        <v>15</v>
      </c>
      <c r="G647" s="7">
        <v>628468558497.32</v>
      </c>
    </row>
    <row ht="12.8" outlineLevel="0" r="648" s="4" customFormat="1">
      <c r="A648" s="17">
        <v>43800</v>
      </c>
      <c r="B648" s="4" t="s">
        <v>29</v>
      </c>
      <c r="C648" s="4" t="s">
        <v>30</v>
      </c>
      <c r="D648" s="4" t="s">
        <v>31</v>
      </c>
      <c r="E648" s="4" t="s">
        <v>20</v>
      </c>
      <c r="F648" s="4" t="s">
        <v>21</v>
      </c>
      <c r="G648" s="7">
        <v>136390469.72</v>
      </c>
    </row>
    <row ht="12.8" outlineLevel="0" r="649" s="4" customFormat="1">
      <c r="A649" s="17">
        <v>43770</v>
      </c>
      <c r="B649" s="4" t="s">
        <v>7</v>
      </c>
      <c r="C649" s="4" t="s">
        <v>8</v>
      </c>
      <c r="D649" s="4" t="s">
        <v>9</v>
      </c>
      <c r="E649" s="4" t="s">
        <v>10</v>
      </c>
      <c r="F649" s="4" t="s">
        <v>11</v>
      </c>
      <c r="G649" s="7">
        <v>378720519632.19</v>
      </c>
    </row>
    <row ht="12.8" outlineLevel="0" r="650" s="4" customFormat="1">
      <c r="A650" s="17">
        <v>43770</v>
      </c>
      <c r="B650" s="4" t="s">
        <v>7</v>
      </c>
      <c r="C650" s="4" t="s">
        <v>8</v>
      </c>
      <c r="D650" s="4" t="s">
        <v>9</v>
      </c>
      <c r="E650" s="4" t="s">
        <v>14</v>
      </c>
      <c r="F650" s="4" t="s">
        <v>15</v>
      </c>
      <c r="G650" s="7">
        <v>356942007132.25</v>
      </c>
    </row>
    <row ht="12.8" outlineLevel="0" r="651" s="4" customFormat="1">
      <c r="A651" s="17">
        <v>43770</v>
      </c>
      <c r="B651" s="4" t="s">
        <v>25</v>
      </c>
      <c r="C651" s="4" t="s">
        <v>23</v>
      </c>
      <c r="D651" s="4" t="s">
        <v>24</v>
      </c>
      <c r="E651" s="4" t="s">
        <v>10</v>
      </c>
      <c r="F651" s="4" t="s">
        <v>11</v>
      </c>
      <c r="G651" s="7">
        <v>713794886297.16</v>
      </c>
    </row>
    <row ht="12.8" outlineLevel="0" r="652" s="4" customFormat="1">
      <c r="A652" s="17">
        <v>43770</v>
      </c>
      <c r="B652" s="4" t="s">
        <v>25</v>
      </c>
      <c r="C652" s="4" t="s">
        <v>23</v>
      </c>
      <c r="D652" s="4" t="s">
        <v>24</v>
      </c>
      <c r="E652" s="4" t="s">
        <v>18</v>
      </c>
      <c r="F652" s="4" t="s">
        <v>19</v>
      </c>
      <c r="G652" s="7">
        <v>466094700296.17</v>
      </c>
    </row>
    <row ht="12.8" outlineLevel="0" r="653" s="4" customFormat="1">
      <c r="A653" s="17">
        <v>43770</v>
      </c>
      <c r="B653" s="4" t="s">
        <v>25</v>
      </c>
      <c r="C653" s="4" t="s">
        <v>23</v>
      </c>
      <c r="D653" s="4" t="s">
        <v>24</v>
      </c>
      <c r="E653" s="4" t="s">
        <v>16</v>
      </c>
      <c r="F653" s="4" t="s">
        <v>17</v>
      </c>
      <c r="G653" s="7">
        <v>466094700296.17</v>
      </c>
    </row>
    <row ht="12.8" outlineLevel="0" r="654" s="4" customFormat="1">
      <c r="A654" s="17">
        <v>43770</v>
      </c>
      <c r="B654" s="4" t="s">
        <v>12</v>
      </c>
      <c r="C654" s="4" t="s">
        <v>8</v>
      </c>
      <c r="D654" s="4" t="s">
        <v>9</v>
      </c>
      <c r="E654" s="4" t="s">
        <v>10</v>
      </c>
      <c r="F654" s="4" t="s">
        <v>11</v>
      </c>
      <c r="G654" s="7">
        <v>633512591155</v>
      </c>
    </row>
    <row ht="12.8" outlineLevel="0" r="655" s="4" customFormat="1">
      <c r="A655" s="17">
        <v>43770</v>
      </c>
      <c r="B655" s="4" t="s">
        <v>13</v>
      </c>
      <c r="C655" s="4" t="s">
        <v>8</v>
      </c>
      <c r="D655" s="4" t="s">
        <v>9</v>
      </c>
      <c r="E655" s="4" t="s">
        <v>18</v>
      </c>
      <c r="F655" s="4" t="s">
        <v>19</v>
      </c>
      <c r="G655" s="7">
        <v>239536600853.651</v>
      </c>
    </row>
    <row ht="12.8" outlineLevel="0" r="656" s="4" customFormat="1">
      <c r="A656" s="17">
        <v>43770</v>
      </c>
      <c r="B656" s="4" t="s">
        <v>7</v>
      </c>
      <c r="C656" s="4" t="s">
        <v>8</v>
      </c>
      <c r="D656" s="4" t="s">
        <v>9</v>
      </c>
      <c r="E656" s="4" t="s">
        <v>18</v>
      </c>
      <c r="F656" s="4" t="s">
        <v>19</v>
      </c>
      <c r="G656" s="7">
        <v>318554471126.55</v>
      </c>
    </row>
    <row ht="12.8" outlineLevel="0" r="657" s="4" customFormat="1">
      <c r="A657" s="17">
        <v>43770</v>
      </c>
      <c r="B657" s="4" t="s">
        <v>7</v>
      </c>
      <c r="C657" s="4" t="s">
        <v>8</v>
      </c>
      <c r="D657" s="4" t="s">
        <v>9</v>
      </c>
      <c r="E657" s="4" t="s">
        <v>16</v>
      </c>
      <c r="F657" s="4" t="s">
        <v>17</v>
      </c>
      <c r="G657" s="7">
        <v>318806779772.11</v>
      </c>
    </row>
    <row ht="12.8" outlineLevel="0" r="658" s="4" customFormat="1">
      <c r="A658" s="17">
        <v>43770</v>
      </c>
      <c r="B658" s="4" t="s">
        <v>12</v>
      </c>
      <c r="C658" s="4" t="s">
        <v>8</v>
      </c>
      <c r="D658" s="4" t="s">
        <v>9</v>
      </c>
      <c r="E658" s="4" t="s">
        <v>14</v>
      </c>
      <c r="F658" s="4" t="s">
        <v>15</v>
      </c>
      <c r="G658" s="7">
        <v>627403475153.76</v>
      </c>
    </row>
    <row ht="12.8" outlineLevel="0" r="659" s="4" customFormat="1">
      <c r="A659" s="17">
        <v>43770</v>
      </c>
      <c r="B659" s="4" t="s">
        <v>32</v>
      </c>
      <c r="C659" s="4" t="s">
        <v>33</v>
      </c>
      <c r="D659" s="4" t="s">
        <v>34</v>
      </c>
      <c r="E659" s="4" t="s">
        <v>10</v>
      </c>
      <c r="F659" s="4" t="s">
        <v>11</v>
      </c>
      <c r="G659" s="7">
        <v>37271504419.98</v>
      </c>
    </row>
    <row ht="12.8" outlineLevel="0" r="660" s="4" customFormat="1">
      <c r="A660" s="17">
        <v>43770</v>
      </c>
      <c r="B660" s="4" t="s">
        <v>22</v>
      </c>
      <c r="C660" s="4" t="s">
        <v>23</v>
      </c>
      <c r="D660" s="4" t="s">
        <v>24</v>
      </c>
      <c r="E660" s="4" t="s">
        <v>18</v>
      </c>
      <c r="F660" s="4" t="s">
        <v>19</v>
      </c>
      <c r="G660" s="7">
        <v>275668273130.02</v>
      </c>
    </row>
    <row ht="12.8" outlineLevel="0" r="661" s="4" customFormat="1">
      <c r="A661" s="17">
        <v>43770</v>
      </c>
      <c r="B661" s="4" t="s">
        <v>12</v>
      </c>
      <c r="C661" s="4" t="s">
        <v>8</v>
      </c>
      <c r="D661" s="4" t="s">
        <v>9</v>
      </c>
      <c r="E661" s="4" t="s">
        <v>16</v>
      </c>
      <c r="F661" s="4" t="s">
        <v>17</v>
      </c>
      <c r="G661" s="7">
        <v>581184520624.78</v>
      </c>
    </row>
    <row ht="12.8" outlineLevel="0" r="662" s="4" customFormat="1">
      <c r="A662" s="17">
        <v>43770</v>
      </c>
      <c r="B662" s="4" t="s">
        <v>22</v>
      </c>
      <c r="C662" s="4" t="s">
        <v>23</v>
      </c>
      <c r="D662" s="4" t="s">
        <v>24</v>
      </c>
      <c r="E662" s="4" t="s">
        <v>10</v>
      </c>
      <c r="F662" s="4" t="s">
        <v>11</v>
      </c>
      <c r="G662" s="7">
        <v>311538775601.84</v>
      </c>
    </row>
    <row ht="12.8" outlineLevel="0" r="663" s="4" customFormat="1">
      <c r="A663" s="17">
        <v>43770</v>
      </c>
      <c r="B663" s="4" t="s">
        <v>22</v>
      </c>
      <c r="C663" s="4" t="s">
        <v>23</v>
      </c>
      <c r="D663" s="4" t="s">
        <v>24</v>
      </c>
      <c r="E663" s="4" t="s">
        <v>14</v>
      </c>
      <c r="F663" s="4" t="s">
        <v>15</v>
      </c>
      <c r="G663" s="7">
        <v>276489765432.03</v>
      </c>
    </row>
    <row ht="12.8" outlineLevel="0" r="664" s="4" customFormat="1">
      <c r="A664" s="17">
        <v>43770</v>
      </c>
      <c r="B664" s="4" t="s">
        <v>25</v>
      </c>
      <c r="C664" s="4" t="s">
        <v>23</v>
      </c>
      <c r="D664" s="4" t="s">
        <v>24</v>
      </c>
      <c r="E664" s="4" t="s">
        <v>14</v>
      </c>
      <c r="F664" s="4" t="s">
        <v>15</v>
      </c>
      <c r="G664" s="7">
        <v>534908183106.8</v>
      </c>
    </row>
    <row ht="12.8" outlineLevel="0" r="665" s="4" customFormat="1">
      <c r="A665" s="17">
        <v>43770</v>
      </c>
      <c r="B665" s="4" t="s">
        <v>12</v>
      </c>
      <c r="C665" s="4" t="s">
        <v>8</v>
      </c>
      <c r="D665" s="4" t="s">
        <v>9</v>
      </c>
      <c r="E665" s="4" t="s">
        <v>18</v>
      </c>
      <c r="F665" s="4" t="s">
        <v>19</v>
      </c>
      <c r="G665" s="7">
        <v>526342511391.98</v>
      </c>
    </row>
    <row ht="12.8" outlineLevel="0" r="666" s="4" customFormat="1">
      <c r="A666" s="17">
        <v>43770</v>
      </c>
      <c r="B666" s="4" t="s">
        <v>22</v>
      </c>
      <c r="C666" s="4" t="s">
        <v>23</v>
      </c>
      <c r="D666" s="4" t="s">
        <v>24</v>
      </c>
      <c r="E666" s="4" t="s">
        <v>16</v>
      </c>
      <c r="F666" s="4" t="s">
        <v>17</v>
      </c>
      <c r="G666" s="7">
        <v>275668273130.02</v>
      </c>
    </row>
    <row ht="12.8" outlineLevel="0" r="667" s="4" customFormat="1">
      <c r="A667" s="17">
        <v>43770</v>
      </c>
      <c r="B667" s="4" t="s">
        <v>29</v>
      </c>
      <c r="C667" s="4" t="s">
        <v>30</v>
      </c>
      <c r="D667" s="4" t="s">
        <v>31</v>
      </c>
      <c r="E667" s="4" t="s">
        <v>10</v>
      </c>
      <c r="F667" s="4" t="s">
        <v>11</v>
      </c>
      <c r="G667" s="7">
        <v>399702729761</v>
      </c>
    </row>
    <row ht="12.8" outlineLevel="0" r="668" s="4" customFormat="1">
      <c r="A668" s="17">
        <v>43770</v>
      </c>
      <c r="B668" s="4" t="s">
        <v>35</v>
      </c>
      <c r="C668" s="4" t="s">
        <v>36</v>
      </c>
      <c r="D668" s="4" t="s">
        <v>37</v>
      </c>
      <c r="E668" s="4" t="s">
        <v>16</v>
      </c>
      <c r="F668" s="4" t="s">
        <v>17</v>
      </c>
      <c r="G668" s="7">
        <v>51281373560.851</v>
      </c>
    </row>
    <row ht="12.8" outlineLevel="0" r="669" s="4" customFormat="1">
      <c r="A669" s="17">
        <v>43770</v>
      </c>
      <c r="B669" s="4" t="s">
        <v>35</v>
      </c>
      <c r="C669" s="4" t="s">
        <v>36</v>
      </c>
      <c r="D669" s="4" t="s">
        <v>37</v>
      </c>
      <c r="E669" s="4" t="s">
        <v>14</v>
      </c>
      <c r="F669" s="4" t="s">
        <v>15</v>
      </c>
      <c r="G669" s="7">
        <v>66328519451.4054</v>
      </c>
    </row>
    <row ht="12.8" outlineLevel="0" r="670" s="4" customFormat="1">
      <c r="A670" s="17">
        <v>43770</v>
      </c>
      <c r="B670" s="4" t="s">
        <v>26</v>
      </c>
      <c r="C670" s="4" t="s">
        <v>27</v>
      </c>
      <c r="D670" s="4" t="s">
        <v>28</v>
      </c>
      <c r="E670" s="4" t="s">
        <v>10</v>
      </c>
      <c r="F670" s="4" t="s">
        <v>11</v>
      </c>
      <c r="G670" s="7">
        <v>347965976672</v>
      </c>
    </row>
    <row ht="12.8" outlineLevel="0" r="671" s="4" customFormat="1">
      <c r="A671" s="17">
        <v>43770</v>
      </c>
      <c r="B671" s="4" t="s">
        <v>38</v>
      </c>
      <c r="C671" s="4" t="s">
        <v>39</v>
      </c>
      <c r="D671" s="4" t="s">
        <v>40</v>
      </c>
      <c r="E671" s="4" t="s">
        <v>10</v>
      </c>
      <c r="F671" s="4" t="s">
        <v>11</v>
      </c>
      <c r="G671" s="7">
        <v>33403505954</v>
      </c>
    </row>
    <row ht="12.8" outlineLevel="0" r="672" s="4" customFormat="1">
      <c r="A672" s="17">
        <v>43770</v>
      </c>
      <c r="B672" s="4" t="s">
        <v>13</v>
      </c>
      <c r="C672" s="4" t="s">
        <v>8</v>
      </c>
      <c r="D672" s="4" t="s">
        <v>9</v>
      </c>
      <c r="E672" s="4" t="s">
        <v>16</v>
      </c>
      <c r="F672" s="4" t="s">
        <v>17</v>
      </c>
      <c r="G672" s="7">
        <v>245300526057.435</v>
      </c>
    </row>
    <row ht="12.8" outlineLevel="0" r="673" s="4" customFormat="1">
      <c r="A673" s="17">
        <v>43770</v>
      </c>
      <c r="B673" s="4" t="s">
        <v>32</v>
      </c>
      <c r="C673" s="4" t="s">
        <v>33</v>
      </c>
      <c r="D673" s="4" t="s">
        <v>34</v>
      </c>
      <c r="E673" s="4" t="s">
        <v>16</v>
      </c>
      <c r="F673" s="4" t="s">
        <v>17</v>
      </c>
      <c r="G673" s="7">
        <v>10804200450.6677</v>
      </c>
    </row>
    <row ht="12.8" outlineLevel="0" r="674" s="4" customFormat="1">
      <c r="A674" s="17">
        <v>43770</v>
      </c>
      <c r="B674" s="4" t="s">
        <v>35</v>
      </c>
      <c r="C674" s="4" t="s">
        <v>36</v>
      </c>
      <c r="D674" s="4" t="s">
        <v>37</v>
      </c>
      <c r="E674" s="4" t="s">
        <v>18</v>
      </c>
      <c r="F674" s="4" t="s">
        <v>19</v>
      </c>
      <c r="G674" s="7">
        <v>48372786063.011</v>
      </c>
    </row>
    <row ht="12.8" outlineLevel="0" r="675" s="4" customFormat="1">
      <c r="A675" s="17">
        <v>43770</v>
      </c>
      <c r="B675" s="4" t="s">
        <v>35</v>
      </c>
      <c r="C675" s="4" t="s">
        <v>36</v>
      </c>
      <c r="D675" s="4" t="s">
        <v>37</v>
      </c>
      <c r="E675" s="4" t="s">
        <v>10</v>
      </c>
      <c r="F675" s="4" t="s">
        <v>11</v>
      </c>
      <c r="G675" s="7">
        <v>94506612096</v>
      </c>
    </row>
    <row ht="12.8" outlineLevel="0" r="676" s="4" customFormat="1">
      <c r="A676" s="17">
        <v>43770</v>
      </c>
      <c r="B676" s="4" t="s">
        <v>32</v>
      </c>
      <c r="C676" s="4" t="s">
        <v>33</v>
      </c>
      <c r="D676" s="4" t="s">
        <v>34</v>
      </c>
      <c r="E676" s="4" t="s">
        <v>18</v>
      </c>
      <c r="F676" s="4" t="s">
        <v>19</v>
      </c>
      <c r="G676" s="7">
        <v>10584313660.2137</v>
      </c>
    </row>
    <row ht="12.8" outlineLevel="0" r="677" s="4" customFormat="1">
      <c r="A677" s="17">
        <v>43770</v>
      </c>
      <c r="B677" s="4" t="s">
        <v>13</v>
      </c>
      <c r="C677" s="4" t="s">
        <v>8</v>
      </c>
      <c r="D677" s="4" t="s">
        <v>9</v>
      </c>
      <c r="E677" s="4" t="s">
        <v>10</v>
      </c>
      <c r="F677" s="4" t="s">
        <v>11</v>
      </c>
      <c r="G677" s="7">
        <v>352534852499.94</v>
      </c>
    </row>
    <row ht="12.8" outlineLevel="0" r="678" s="4" customFormat="1">
      <c r="A678" s="17">
        <v>43770</v>
      </c>
      <c r="B678" s="4" t="s">
        <v>13</v>
      </c>
      <c r="C678" s="4" t="s">
        <v>8</v>
      </c>
      <c r="D678" s="4" t="s">
        <v>9</v>
      </c>
      <c r="E678" s="4" t="s">
        <v>14</v>
      </c>
      <c r="F678" s="4" t="s">
        <v>15</v>
      </c>
      <c r="G678" s="7">
        <v>324344209965.1</v>
      </c>
    </row>
    <row ht="12.8" outlineLevel="0" r="679" s="4" customFormat="1">
      <c r="A679" s="17">
        <v>43770</v>
      </c>
      <c r="B679" s="4" t="s">
        <v>29</v>
      </c>
      <c r="C679" s="4" t="s">
        <v>30</v>
      </c>
      <c r="D679" s="4" t="s">
        <v>31</v>
      </c>
      <c r="E679" s="4" t="s">
        <v>14</v>
      </c>
      <c r="F679" s="4" t="s">
        <v>15</v>
      </c>
      <c r="G679" s="7">
        <v>286071104700.67</v>
      </c>
    </row>
    <row ht="12.8" outlineLevel="0" r="680" s="4" customFormat="1">
      <c r="A680" s="17">
        <v>43770</v>
      </c>
      <c r="B680" s="4" t="s">
        <v>32</v>
      </c>
      <c r="C680" s="4" t="s">
        <v>33</v>
      </c>
      <c r="D680" s="4" t="s">
        <v>34</v>
      </c>
      <c r="E680" s="4" t="s">
        <v>14</v>
      </c>
      <c r="F680" s="4" t="s">
        <v>15</v>
      </c>
      <c r="G680" s="7">
        <v>25219836301.4989</v>
      </c>
    </row>
    <row ht="12.8" outlineLevel="0" r="681" s="4" customFormat="1">
      <c r="A681" s="17">
        <v>43770</v>
      </c>
      <c r="B681" s="4" t="s">
        <v>26</v>
      </c>
      <c r="C681" s="4" t="s">
        <v>27</v>
      </c>
      <c r="D681" s="4" t="s">
        <v>28</v>
      </c>
      <c r="E681" s="4" t="s">
        <v>14</v>
      </c>
      <c r="F681" s="4" t="s">
        <v>15</v>
      </c>
      <c r="G681" s="7">
        <v>324769657150.966</v>
      </c>
    </row>
    <row ht="12.8" outlineLevel="0" r="682" s="4" customFormat="1">
      <c r="A682" s="17">
        <v>43770</v>
      </c>
      <c r="B682" s="4" t="s">
        <v>29</v>
      </c>
      <c r="C682" s="4" t="s">
        <v>30</v>
      </c>
      <c r="D682" s="4" t="s">
        <v>31</v>
      </c>
      <c r="E682" s="4" t="s">
        <v>16</v>
      </c>
      <c r="F682" s="4" t="s">
        <v>17</v>
      </c>
      <c r="G682" s="7">
        <v>282409429223.15</v>
      </c>
    </row>
    <row ht="12.8" outlineLevel="0" r="683" s="4" customFormat="1">
      <c r="A683" s="17">
        <v>43770</v>
      </c>
      <c r="B683" s="4" t="s">
        <v>29</v>
      </c>
      <c r="C683" s="4" t="s">
        <v>30</v>
      </c>
      <c r="D683" s="4" t="s">
        <v>31</v>
      </c>
      <c r="E683" s="4" t="s">
        <v>18</v>
      </c>
      <c r="F683" s="4" t="s">
        <v>19</v>
      </c>
      <c r="G683" s="7">
        <v>282409429223.15</v>
      </c>
    </row>
    <row ht="12.8" outlineLevel="0" r="684" s="4" customFormat="1">
      <c r="A684" s="17">
        <v>43770</v>
      </c>
      <c r="B684" s="4" t="s">
        <v>26</v>
      </c>
      <c r="C684" s="4" t="s">
        <v>27</v>
      </c>
      <c r="D684" s="4" t="s">
        <v>28</v>
      </c>
      <c r="E684" s="4" t="s">
        <v>16</v>
      </c>
      <c r="F684" s="4" t="s">
        <v>17</v>
      </c>
      <c r="G684" s="7">
        <v>302954846483.984</v>
      </c>
    </row>
    <row ht="12.8" outlineLevel="0" r="685" s="4" customFormat="1">
      <c r="A685" s="17">
        <v>43770</v>
      </c>
      <c r="B685" s="4" t="s">
        <v>26</v>
      </c>
      <c r="C685" s="4" t="s">
        <v>27</v>
      </c>
      <c r="D685" s="4" t="s">
        <v>28</v>
      </c>
      <c r="E685" s="4" t="s">
        <v>18</v>
      </c>
      <c r="F685" s="4" t="s">
        <v>19</v>
      </c>
      <c r="G685" s="7">
        <v>279177765971.664</v>
      </c>
    </row>
    <row ht="12.8" outlineLevel="0" r="686" s="4" customFormat="1">
      <c r="A686" s="17">
        <v>43739</v>
      </c>
      <c r="B686" s="4" t="s">
        <v>25</v>
      </c>
      <c r="C686" s="4" t="s">
        <v>23</v>
      </c>
      <c r="D686" s="4" t="s">
        <v>24</v>
      </c>
      <c r="E686" s="4" t="s">
        <v>10</v>
      </c>
      <c r="F686" s="4" t="s">
        <v>11</v>
      </c>
      <c r="G686" s="7">
        <v>713794886297.16</v>
      </c>
    </row>
    <row ht="12.8" outlineLevel="0" r="687" s="4" customFormat="1">
      <c r="A687" s="17">
        <v>43739</v>
      </c>
      <c r="B687" s="4" t="s">
        <v>25</v>
      </c>
      <c r="C687" s="4" t="s">
        <v>23</v>
      </c>
      <c r="D687" s="4" t="s">
        <v>24</v>
      </c>
      <c r="E687" s="4" t="s">
        <v>16</v>
      </c>
      <c r="F687" s="4" t="s">
        <v>17</v>
      </c>
      <c r="G687" s="7">
        <v>459528167915.45</v>
      </c>
    </row>
    <row ht="12.8" outlineLevel="0" r="688" s="4" customFormat="1">
      <c r="A688" s="17">
        <v>43739</v>
      </c>
      <c r="B688" s="4" t="s">
        <v>29</v>
      </c>
      <c r="C688" s="4" t="s">
        <v>30</v>
      </c>
      <c r="D688" s="4" t="s">
        <v>31</v>
      </c>
      <c r="E688" s="4" t="s">
        <v>10</v>
      </c>
      <c r="F688" s="4" t="s">
        <v>11</v>
      </c>
      <c r="G688" s="7">
        <v>399701449444</v>
      </c>
    </row>
    <row ht="12.8" outlineLevel="0" r="689" s="4" customFormat="1">
      <c r="A689" s="17">
        <v>43739</v>
      </c>
      <c r="B689" s="4" t="s">
        <v>38</v>
      </c>
      <c r="C689" s="4" t="s">
        <v>39</v>
      </c>
      <c r="D689" s="4" t="s">
        <v>40</v>
      </c>
      <c r="E689" s="4" t="s">
        <v>10</v>
      </c>
      <c r="F689" s="4" t="s">
        <v>11</v>
      </c>
      <c r="G689" s="7">
        <v>33403505954</v>
      </c>
    </row>
    <row ht="12.8" outlineLevel="0" r="690" s="4" customFormat="1">
      <c r="A690" s="17">
        <v>43739</v>
      </c>
      <c r="B690" s="4" t="s">
        <v>25</v>
      </c>
      <c r="C690" s="4" t="s">
        <v>23</v>
      </c>
      <c r="D690" s="4" t="s">
        <v>24</v>
      </c>
      <c r="E690" s="4" t="s">
        <v>14</v>
      </c>
      <c r="F690" s="4" t="s">
        <v>15</v>
      </c>
      <c r="G690" s="7">
        <v>528402806745.78</v>
      </c>
    </row>
    <row ht="12.8" outlineLevel="0" r="691" s="4" customFormat="1">
      <c r="A691" s="17">
        <v>43739</v>
      </c>
      <c r="B691" s="4" t="s">
        <v>12</v>
      </c>
      <c r="C691" s="4" t="s">
        <v>8</v>
      </c>
      <c r="D691" s="4" t="s">
        <v>9</v>
      </c>
      <c r="E691" s="4" t="s">
        <v>16</v>
      </c>
      <c r="F691" s="4" t="s">
        <v>17</v>
      </c>
      <c r="G691" s="7">
        <v>509523387188.16</v>
      </c>
    </row>
    <row ht="12.8" outlineLevel="0" r="692" s="4" customFormat="1">
      <c r="A692" s="17">
        <v>43739</v>
      </c>
      <c r="B692" s="4" t="s">
        <v>26</v>
      </c>
      <c r="C692" s="4" t="s">
        <v>27</v>
      </c>
      <c r="D692" s="4" t="s">
        <v>28</v>
      </c>
      <c r="E692" s="4" t="s">
        <v>10</v>
      </c>
      <c r="F692" s="4" t="s">
        <v>11</v>
      </c>
      <c r="G692" s="7">
        <v>348412590346</v>
      </c>
    </row>
    <row ht="12.8" outlineLevel="0" r="693" s="4" customFormat="1">
      <c r="A693" s="17">
        <v>43739</v>
      </c>
      <c r="B693" s="4" t="s">
        <v>13</v>
      </c>
      <c r="C693" s="4" t="s">
        <v>8</v>
      </c>
      <c r="D693" s="4" t="s">
        <v>9</v>
      </c>
      <c r="E693" s="4" t="s">
        <v>10</v>
      </c>
      <c r="F693" s="4" t="s">
        <v>11</v>
      </c>
      <c r="G693" s="7">
        <v>352285688562.57</v>
      </c>
    </row>
    <row ht="12.8" outlineLevel="0" r="694" s="4" customFormat="1">
      <c r="A694" s="17">
        <v>43739</v>
      </c>
      <c r="B694" s="4" t="s">
        <v>12</v>
      </c>
      <c r="C694" s="4" t="s">
        <v>8</v>
      </c>
      <c r="D694" s="4" t="s">
        <v>9</v>
      </c>
      <c r="E694" s="4" t="s">
        <v>14</v>
      </c>
      <c r="F694" s="4" t="s">
        <v>15</v>
      </c>
      <c r="G694" s="7">
        <v>627897787414.96</v>
      </c>
    </row>
    <row ht="12.8" outlineLevel="0" r="695" s="4" customFormat="1">
      <c r="A695" s="17">
        <v>43739</v>
      </c>
      <c r="B695" s="4" t="s">
        <v>13</v>
      </c>
      <c r="C695" s="4" t="s">
        <v>8</v>
      </c>
      <c r="D695" s="4" t="s">
        <v>9</v>
      </c>
      <c r="E695" s="4" t="s">
        <v>14</v>
      </c>
      <c r="F695" s="4" t="s">
        <v>15</v>
      </c>
      <c r="G695" s="7">
        <v>313360030166.24</v>
      </c>
    </row>
    <row ht="12.8" outlineLevel="0" r="696" s="4" customFormat="1">
      <c r="A696" s="17">
        <v>43739</v>
      </c>
      <c r="B696" s="4" t="s">
        <v>32</v>
      </c>
      <c r="C696" s="4" t="s">
        <v>33</v>
      </c>
      <c r="D696" s="4" t="s">
        <v>34</v>
      </c>
      <c r="E696" s="4" t="s">
        <v>18</v>
      </c>
      <c r="F696" s="4" t="s">
        <v>19</v>
      </c>
      <c r="G696" s="7">
        <v>8289507176.5078</v>
      </c>
    </row>
    <row ht="12.8" outlineLevel="0" r="697" s="4" customFormat="1">
      <c r="A697" s="17">
        <v>43739</v>
      </c>
      <c r="B697" s="4" t="s">
        <v>32</v>
      </c>
      <c r="C697" s="4" t="s">
        <v>33</v>
      </c>
      <c r="D697" s="4" t="s">
        <v>34</v>
      </c>
      <c r="E697" s="4" t="s">
        <v>14</v>
      </c>
      <c r="F697" s="4" t="s">
        <v>15</v>
      </c>
      <c r="G697" s="7">
        <v>19943912445.424</v>
      </c>
    </row>
    <row ht="12.8" outlineLevel="0" r="698" s="4" customFormat="1">
      <c r="A698" s="17">
        <v>43739</v>
      </c>
      <c r="B698" s="4" t="s">
        <v>32</v>
      </c>
      <c r="C698" s="4" t="s">
        <v>33</v>
      </c>
      <c r="D698" s="4" t="s">
        <v>34</v>
      </c>
      <c r="E698" s="4" t="s">
        <v>10</v>
      </c>
      <c r="F698" s="4" t="s">
        <v>11</v>
      </c>
      <c r="G698" s="7">
        <v>36171005167.99</v>
      </c>
    </row>
    <row ht="12.8" outlineLevel="0" r="699" s="4" customFormat="1">
      <c r="A699" s="17">
        <v>43739</v>
      </c>
      <c r="B699" s="4" t="s">
        <v>29</v>
      </c>
      <c r="C699" s="4" t="s">
        <v>30</v>
      </c>
      <c r="D699" s="4" t="s">
        <v>31</v>
      </c>
      <c r="E699" s="4" t="s">
        <v>18</v>
      </c>
      <c r="F699" s="4" t="s">
        <v>19</v>
      </c>
      <c r="G699" s="7">
        <v>263333197096.57</v>
      </c>
    </row>
    <row ht="12.8" outlineLevel="0" r="700" s="4" customFormat="1">
      <c r="A700" s="17">
        <v>43739</v>
      </c>
      <c r="B700" s="4" t="s">
        <v>32</v>
      </c>
      <c r="C700" s="4" t="s">
        <v>33</v>
      </c>
      <c r="D700" s="4" t="s">
        <v>34</v>
      </c>
      <c r="E700" s="4" t="s">
        <v>16</v>
      </c>
      <c r="F700" s="4" t="s">
        <v>17</v>
      </c>
      <c r="G700" s="7">
        <v>8793671190.0474</v>
      </c>
    </row>
    <row ht="12.8" outlineLevel="0" r="701" s="4" customFormat="1">
      <c r="A701" s="17">
        <v>43739</v>
      </c>
      <c r="B701" s="4" t="s">
        <v>29</v>
      </c>
      <c r="C701" s="4" t="s">
        <v>30</v>
      </c>
      <c r="D701" s="4" t="s">
        <v>31</v>
      </c>
      <c r="E701" s="4" t="s">
        <v>14</v>
      </c>
      <c r="F701" s="4" t="s">
        <v>15</v>
      </c>
      <c r="G701" s="7">
        <v>267308736026.67</v>
      </c>
    </row>
    <row ht="12.8" outlineLevel="0" r="702" s="4" customFormat="1">
      <c r="A702" s="17">
        <v>43739</v>
      </c>
      <c r="B702" s="4" t="s">
        <v>25</v>
      </c>
      <c r="C702" s="4" t="s">
        <v>23</v>
      </c>
      <c r="D702" s="4" t="s">
        <v>24</v>
      </c>
      <c r="E702" s="4" t="s">
        <v>18</v>
      </c>
      <c r="F702" s="4" t="s">
        <v>19</v>
      </c>
      <c r="G702" s="7">
        <v>459528167915.45</v>
      </c>
    </row>
    <row ht="12.8" outlineLevel="0" r="703" s="4" customFormat="1">
      <c r="A703" s="17">
        <v>43739</v>
      </c>
      <c r="B703" s="4" t="s">
        <v>29</v>
      </c>
      <c r="C703" s="4" t="s">
        <v>30</v>
      </c>
      <c r="D703" s="4" t="s">
        <v>31</v>
      </c>
      <c r="E703" s="4" t="s">
        <v>16</v>
      </c>
      <c r="F703" s="4" t="s">
        <v>17</v>
      </c>
      <c r="G703" s="7">
        <v>263333197096.57</v>
      </c>
    </row>
    <row ht="12.8" outlineLevel="0" r="704" s="4" customFormat="1">
      <c r="A704" s="17">
        <v>43739</v>
      </c>
      <c r="B704" s="4" t="s">
        <v>12</v>
      </c>
      <c r="C704" s="4" t="s">
        <v>8</v>
      </c>
      <c r="D704" s="4" t="s">
        <v>9</v>
      </c>
      <c r="E704" s="4" t="s">
        <v>10</v>
      </c>
      <c r="F704" s="4" t="s">
        <v>11</v>
      </c>
      <c r="G704" s="7">
        <v>634782575187</v>
      </c>
    </row>
    <row ht="12.8" outlineLevel="0" r="705" s="4" customFormat="1">
      <c r="A705" s="17">
        <v>43739</v>
      </c>
      <c r="B705" s="4" t="s">
        <v>22</v>
      </c>
      <c r="C705" s="4" t="s">
        <v>23</v>
      </c>
      <c r="D705" s="4" t="s">
        <v>24</v>
      </c>
      <c r="E705" s="4" t="s">
        <v>16</v>
      </c>
      <c r="F705" s="4" t="s">
        <v>17</v>
      </c>
      <c r="G705" s="7">
        <v>275643428880.33</v>
      </c>
    </row>
    <row ht="12.8" outlineLevel="0" r="706" s="4" customFormat="1">
      <c r="A706" s="17">
        <v>43739</v>
      </c>
      <c r="B706" s="4" t="s">
        <v>22</v>
      </c>
      <c r="C706" s="4" t="s">
        <v>23</v>
      </c>
      <c r="D706" s="4" t="s">
        <v>24</v>
      </c>
      <c r="E706" s="4" t="s">
        <v>18</v>
      </c>
      <c r="F706" s="4" t="s">
        <v>19</v>
      </c>
      <c r="G706" s="7">
        <v>275643428880.33</v>
      </c>
    </row>
    <row ht="12.8" outlineLevel="0" r="707" s="4" customFormat="1">
      <c r="A707" s="17">
        <v>43739</v>
      </c>
      <c r="B707" s="4" t="s">
        <v>7</v>
      </c>
      <c r="C707" s="4" t="s">
        <v>8</v>
      </c>
      <c r="D707" s="4" t="s">
        <v>9</v>
      </c>
      <c r="E707" s="4" t="s">
        <v>16</v>
      </c>
      <c r="F707" s="4" t="s">
        <v>17</v>
      </c>
      <c r="G707" s="7">
        <v>286611261850.49</v>
      </c>
    </row>
    <row ht="12.8" outlineLevel="0" r="708" s="4" customFormat="1">
      <c r="A708" s="17">
        <v>43739</v>
      </c>
      <c r="B708" s="4" t="s">
        <v>22</v>
      </c>
      <c r="C708" s="4" t="s">
        <v>23</v>
      </c>
      <c r="D708" s="4" t="s">
        <v>24</v>
      </c>
      <c r="E708" s="4" t="s">
        <v>14</v>
      </c>
      <c r="F708" s="4" t="s">
        <v>15</v>
      </c>
      <c r="G708" s="7">
        <v>276489765432.03</v>
      </c>
    </row>
    <row ht="12.8" outlineLevel="0" r="709" s="4" customFormat="1">
      <c r="A709" s="17">
        <v>43739</v>
      </c>
      <c r="B709" s="4" t="s">
        <v>26</v>
      </c>
      <c r="C709" s="4" t="s">
        <v>27</v>
      </c>
      <c r="D709" s="4" t="s">
        <v>28</v>
      </c>
      <c r="E709" s="4" t="s">
        <v>18</v>
      </c>
      <c r="F709" s="4" t="s">
        <v>19</v>
      </c>
      <c r="G709" s="7">
        <v>248880736201.332</v>
      </c>
    </row>
    <row ht="12.8" outlineLevel="0" r="710" s="4" customFormat="1">
      <c r="A710" s="17">
        <v>43739</v>
      </c>
      <c r="B710" s="4" t="s">
        <v>26</v>
      </c>
      <c r="C710" s="4" t="s">
        <v>27</v>
      </c>
      <c r="D710" s="4" t="s">
        <v>28</v>
      </c>
      <c r="E710" s="4" t="s">
        <v>14</v>
      </c>
      <c r="F710" s="4" t="s">
        <v>15</v>
      </c>
      <c r="G710" s="7">
        <v>306425133942.096</v>
      </c>
    </row>
    <row ht="12.8" outlineLevel="0" r="711" s="4" customFormat="1">
      <c r="A711" s="17">
        <v>43739</v>
      </c>
      <c r="B711" s="4" t="s">
        <v>35</v>
      </c>
      <c r="C711" s="4" t="s">
        <v>36</v>
      </c>
      <c r="D711" s="4" t="s">
        <v>37</v>
      </c>
      <c r="E711" s="4" t="s">
        <v>10</v>
      </c>
      <c r="F711" s="4" t="s">
        <v>11</v>
      </c>
      <c r="G711" s="7">
        <v>94445345827</v>
      </c>
    </row>
    <row ht="12.8" outlineLevel="0" r="712" s="4" customFormat="1">
      <c r="A712" s="17">
        <v>43739</v>
      </c>
      <c r="B712" s="4" t="s">
        <v>26</v>
      </c>
      <c r="C712" s="4" t="s">
        <v>27</v>
      </c>
      <c r="D712" s="4" t="s">
        <v>28</v>
      </c>
      <c r="E712" s="4" t="s">
        <v>16</v>
      </c>
      <c r="F712" s="4" t="s">
        <v>17</v>
      </c>
      <c r="G712" s="7">
        <v>264773783136.961</v>
      </c>
    </row>
    <row ht="12.8" outlineLevel="0" r="713" s="4" customFormat="1">
      <c r="A713" s="17">
        <v>43739</v>
      </c>
      <c r="B713" s="4" t="s">
        <v>22</v>
      </c>
      <c r="C713" s="4" t="s">
        <v>23</v>
      </c>
      <c r="D713" s="4" t="s">
        <v>24</v>
      </c>
      <c r="E713" s="4" t="s">
        <v>10</v>
      </c>
      <c r="F713" s="4" t="s">
        <v>11</v>
      </c>
      <c r="G713" s="7">
        <v>311538775601.84</v>
      </c>
    </row>
    <row ht="12.8" outlineLevel="0" r="714" s="4" customFormat="1">
      <c r="A714" s="17">
        <v>43739</v>
      </c>
      <c r="B714" s="4" t="s">
        <v>12</v>
      </c>
      <c r="C714" s="4" t="s">
        <v>8</v>
      </c>
      <c r="D714" s="4" t="s">
        <v>9</v>
      </c>
      <c r="E714" s="4" t="s">
        <v>18</v>
      </c>
      <c r="F714" s="4" t="s">
        <v>19</v>
      </c>
      <c r="G714" s="7">
        <v>472676863903.62</v>
      </c>
    </row>
    <row ht="12.8" outlineLevel="0" r="715" s="4" customFormat="1">
      <c r="A715" s="17">
        <v>43739</v>
      </c>
      <c r="B715" s="4" t="s">
        <v>35</v>
      </c>
      <c r="C715" s="4" t="s">
        <v>36</v>
      </c>
      <c r="D715" s="4" t="s">
        <v>37</v>
      </c>
      <c r="E715" s="4" t="s">
        <v>18</v>
      </c>
      <c r="F715" s="4" t="s">
        <v>19</v>
      </c>
      <c r="G715" s="7">
        <v>43729460422.2262</v>
      </c>
    </row>
    <row ht="12.8" outlineLevel="0" r="716" s="4" customFormat="1">
      <c r="A716" s="17">
        <v>43739</v>
      </c>
      <c r="B716" s="4" t="s">
        <v>13</v>
      </c>
      <c r="C716" s="4" t="s">
        <v>8</v>
      </c>
      <c r="D716" s="4" t="s">
        <v>9</v>
      </c>
      <c r="E716" s="4" t="s">
        <v>18</v>
      </c>
      <c r="F716" s="4" t="s">
        <v>19</v>
      </c>
      <c r="G716" s="7">
        <v>216442440451.043</v>
      </c>
    </row>
    <row ht="12.8" outlineLevel="0" r="717" s="4" customFormat="1">
      <c r="A717" s="17">
        <v>43739</v>
      </c>
      <c r="B717" s="4" t="s">
        <v>13</v>
      </c>
      <c r="C717" s="4" t="s">
        <v>8</v>
      </c>
      <c r="D717" s="4" t="s">
        <v>9</v>
      </c>
      <c r="E717" s="4" t="s">
        <v>16</v>
      </c>
      <c r="F717" s="4" t="s">
        <v>17</v>
      </c>
      <c r="G717" s="7">
        <v>221786120285.738</v>
      </c>
    </row>
    <row ht="12.8" outlineLevel="0" r="718" s="4" customFormat="1">
      <c r="A718" s="17">
        <v>43739</v>
      </c>
      <c r="B718" s="4" t="s">
        <v>35</v>
      </c>
      <c r="C718" s="4" t="s">
        <v>36</v>
      </c>
      <c r="D718" s="4" t="s">
        <v>37</v>
      </c>
      <c r="E718" s="4" t="s">
        <v>16</v>
      </c>
      <c r="F718" s="4" t="s">
        <v>17</v>
      </c>
      <c r="G718" s="7">
        <v>44183941437.3462</v>
      </c>
    </row>
    <row ht="12.8" outlineLevel="0" r="719" s="4" customFormat="1">
      <c r="A719" s="17">
        <v>43739</v>
      </c>
      <c r="B719" s="4" t="s">
        <v>7</v>
      </c>
      <c r="C719" s="4" t="s">
        <v>8</v>
      </c>
      <c r="D719" s="4" t="s">
        <v>9</v>
      </c>
      <c r="E719" s="4" t="s">
        <v>10</v>
      </c>
      <c r="F719" s="4" t="s">
        <v>11</v>
      </c>
      <c r="G719" s="7">
        <v>378434798385.42</v>
      </c>
    </row>
    <row ht="12.8" outlineLevel="0" r="720" s="4" customFormat="1">
      <c r="A720" s="17">
        <v>43739</v>
      </c>
      <c r="B720" s="4" t="s">
        <v>7</v>
      </c>
      <c r="C720" s="4" t="s">
        <v>8</v>
      </c>
      <c r="D720" s="4" t="s">
        <v>9</v>
      </c>
      <c r="E720" s="4" t="s">
        <v>14</v>
      </c>
      <c r="F720" s="4" t="s">
        <v>15</v>
      </c>
      <c r="G720" s="7">
        <v>343104856772.34</v>
      </c>
    </row>
    <row ht="12.8" outlineLevel="0" r="721" s="4" customFormat="1">
      <c r="A721" s="17">
        <v>43739</v>
      </c>
      <c r="B721" s="4" t="s">
        <v>35</v>
      </c>
      <c r="C721" s="4" t="s">
        <v>36</v>
      </c>
      <c r="D721" s="4" t="s">
        <v>37</v>
      </c>
      <c r="E721" s="4" t="s">
        <v>14</v>
      </c>
      <c r="F721" s="4" t="s">
        <v>15</v>
      </c>
      <c r="G721" s="7">
        <v>60386531563.0162</v>
      </c>
    </row>
    <row ht="12.8" outlineLevel="0" r="722" s="4" customFormat="1">
      <c r="A722" s="17">
        <v>43739</v>
      </c>
      <c r="B722" s="4" t="s">
        <v>7</v>
      </c>
      <c r="C722" s="4" t="s">
        <v>8</v>
      </c>
      <c r="D722" s="4" t="s">
        <v>9</v>
      </c>
      <c r="E722" s="4" t="s">
        <v>18</v>
      </c>
      <c r="F722" s="4" t="s">
        <v>19</v>
      </c>
      <c r="G722" s="7">
        <v>286498373446.02</v>
      </c>
    </row>
    <row ht="12.8" outlineLevel="0" r="723" s="4" customFormat="1">
      <c r="A723" s="17">
        <v>43709</v>
      </c>
      <c r="B723" s="4" t="s">
        <v>22</v>
      </c>
      <c r="C723" s="4" t="s">
        <v>23</v>
      </c>
      <c r="D723" s="4" t="s">
        <v>24</v>
      </c>
      <c r="E723" s="4" t="s">
        <v>14</v>
      </c>
      <c r="F723" s="4" t="s">
        <v>15</v>
      </c>
      <c r="G723" s="7">
        <v>229681010862.92</v>
      </c>
    </row>
    <row ht="12.8" outlineLevel="0" r="724" s="4" customFormat="1">
      <c r="A724" s="17">
        <v>43709</v>
      </c>
      <c r="B724" s="4" t="s">
        <v>22</v>
      </c>
      <c r="C724" s="4" t="s">
        <v>23</v>
      </c>
      <c r="D724" s="4" t="s">
        <v>24</v>
      </c>
      <c r="E724" s="4" t="s">
        <v>16</v>
      </c>
      <c r="F724" s="4" t="s">
        <v>17</v>
      </c>
      <c r="G724" s="7">
        <v>228809538567.69</v>
      </c>
    </row>
    <row ht="12.8" outlineLevel="0" r="725" s="4" customFormat="1">
      <c r="A725" s="17">
        <v>43709</v>
      </c>
      <c r="B725" s="4" t="s">
        <v>25</v>
      </c>
      <c r="C725" s="4" t="s">
        <v>23</v>
      </c>
      <c r="D725" s="4" t="s">
        <v>24</v>
      </c>
      <c r="E725" s="4" t="s">
        <v>14</v>
      </c>
      <c r="F725" s="4" t="s">
        <v>15</v>
      </c>
      <c r="G725" s="7">
        <v>450305186076.74</v>
      </c>
    </row>
    <row ht="12.8" outlineLevel="0" r="726" s="4" customFormat="1">
      <c r="A726" s="17">
        <v>43709</v>
      </c>
      <c r="B726" s="4" t="s">
        <v>25</v>
      </c>
      <c r="C726" s="4" t="s">
        <v>23</v>
      </c>
      <c r="D726" s="4" t="s">
        <v>24</v>
      </c>
      <c r="E726" s="4" t="s">
        <v>16</v>
      </c>
      <c r="F726" s="4" t="s">
        <v>17</v>
      </c>
      <c r="G726" s="7">
        <v>372501188934.91</v>
      </c>
    </row>
    <row ht="12.8" outlineLevel="0" r="727" s="4" customFormat="1">
      <c r="A727" s="17">
        <v>43709</v>
      </c>
      <c r="B727" s="4" t="s">
        <v>22</v>
      </c>
      <c r="C727" s="4" t="s">
        <v>23</v>
      </c>
      <c r="D727" s="4" t="s">
        <v>24</v>
      </c>
      <c r="E727" s="4" t="s">
        <v>18</v>
      </c>
      <c r="F727" s="4" t="s">
        <v>19</v>
      </c>
      <c r="G727" s="7">
        <v>228809538567.69</v>
      </c>
    </row>
    <row ht="12.8" outlineLevel="0" r="728" s="4" customFormat="1">
      <c r="A728" s="17">
        <v>43709</v>
      </c>
      <c r="B728" s="4" t="s">
        <v>22</v>
      </c>
      <c r="C728" s="4" t="s">
        <v>23</v>
      </c>
      <c r="D728" s="4" t="s">
        <v>24</v>
      </c>
      <c r="E728" s="4" t="s">
        <v>10</v>
      </c>
      <c r="F728" s="4" t="s">
        <v>11</v>
      </c>
      <c r="G728" s="7">
        <v>332538775601.84</v>
      </c>
    </row>
    <row ht="12.8" outlineLevel="0" r="729" s="4" customFormat="1">
      <c r="A729" s="17">
        <v>43709</v>
      </c>
      <c r="B729" s="4" t="s">
        <v>32</v>
      </c>
      <c r="C729" s="4" t="s">
        <v>33</v>
      </c>
      <c r="D729" s="4" t="s">
        <v>34</v>
      </c>
      <c r="E729" s="4" t="s">
        <v>10</v>
      </c>
      <c r="F729" s="4" t="s">
        <v>11</v>
      </c>
      <c r="G729" s="7">
        <v>36318332842.99</v>
      </c>
    </row>
    <row ht="12.8" outlineLevel="0" r="730" s="4" customFormat="1">
      <c r="A730" s="17">
        <v>43709</v>
      </c>
      <c r="B730" s="4" t="s">
        <v>26</v>
      </c>
      <c r="C730" s="4" t="s">
        <v>27</v>
      </c>
      <c r="D730" s="4" t="s">
        <v>28</v>
      </c>
      <c r="E730" s="4" t="s">
        <v>14</v>
      </c>
      <c r="F730" s="4" t="s">
        <v>15</v>
      </c>
      <c r="G730" s="7">
        <v>295810470712.878</v>
      </c>
    </row>
    <row ht="12.8" outlineLevel="0" r="731" s="4" customFormat="1">
      <c r="A731" s="17">
        <v>43709</v>
      </c>
      <c r="B731" s="4" t="s">
        <v>26</v>
      </c>
      <c r="C731" s="4" t="s">
        <v>27</v>
      </c>
      <c r="D731" s="4" t="s">
        <v>28</v>
      </c>
      <c r="E731" s="4" t="s">
        <v>10</v>
      </c>
      <c r="F731" s="4" t="s">
        <v>11</v>
      </c>
      <c r="G731" s="7">
        <v>349739990838</v>
      </c>
    </row>
    <row ht="12.8" outlineLevel="0" r="732" s="4" customFormat="1">
      <c r="A732" s="17">
        <v>43709</v>
      </c>
      <c r="B732" s="4" t="s">
        <v>12</v>
      </c>
      <c r="C732" s="4" t="s">
        <v>8</v>
      </c>
      <c r="D732" s="4" t="s">
        <v>9</v>
      </c>
      <c r="E732" s="4" t="s">
        <v>18</v>
      </c>
      <c r="F732" s="4" t="s">
        <v>19</v>
      </c>
      <c r="G732" s="7">
        <v>424127046013.24</v>
      </c>
    </row>
    <row ht="12.8" outlineLevel="0" r="733" s="4" customFormat="1">
      <c r="A733" s="17">
        <v>43709</v>
      </c>
      <c r="B733" s="4" t="s">
        <v>12</v>
      </c>
      <c r="C733" s="4" t="s">
        <v>8</v>
      </c>
      <c r="D733" s="4" t="s">
        <v>9</v>
      </c>
      <c r="E733" s="4" t="s">
        <v>16</v>
      </c>
      <c r="F733" s="4" t="s">
        <v>17</v>
      </c>
      <c r="G733" s="7">
        <v>460856781590.81</v>
      </c>
    </row>
    <row ht="12.8" outlineLevel="0" r="734" s="4" customFormat="1">
      <c r="A734" s="17">
        <v>43709</v>
      </c>
      <c r="B734" s="4" t="s">
        <v>12</v>
      </c>
      <c r="C734" s="4" t="s">
        <v>8</v>
      </c>
      <c r="D734" s="4" t="s">
        <v>9</v>
      </c>
      <c r="E734" s="4" t="s">
        <v>10</v>
      </c>
      <c r="F734" s="4" t="s">
        <v>11</v>
      </c>
      <c r="G734" s="7">
        <v>638344870527</v>
      </c>
    </row>
    <row ht="12.8" outlineLevel="0" r="735" s="4" customFormat="1">
      <c r="A735" s="17">
        <v>43709</v>
      </c>
      <c r="B735" s="4" t="s">
        <v>12</v>
      </c>
      <c r="C735" s="4" t="s">
        <v>8</v>
      </c>
      <c r="D735" s="4" t="s">
        <v>9</v>
      </c>
      <c r="E735" s="4" t="s">
        <v>14</v>
      </c>
      <c r="F735" s="4" t="s">
        <v>15</v>
      </c>
      <c r="G735" s="7">
        <v>626764560825.91</v>
      </c>
    </row>
    <row ht="12.8" outlineLevel="0" r="736" s="4" customFormat="1">
      <c r="A736" s="17">
        <v>43709</v>
      </c>
      <c r="B736" s="4" t="s">
        <v>32</v>
      </c>
      <c r="C736" s="4" t="s">
        <v>33</v>
      </c>
      <c r="D736" s="4" t="s">
        <v>34</v>
      </c>
      <c r="E736" s="4" t="s">
        <v>16</v>
      </c>
      <c r="F736" s="4" t="s">
        <v>17</v>
      </c>
      <c r="G736" s="7">
        <v>7129982184.3909</v>
      </c>
    </row>
    <row ht="12.8" outlineLevel="0" r="737" s="4" customFormat="1">
      <c r="A737" s="17">
        <v>43709</v>
      </c>
      <c r="B737" s="4" t="s">
        <v>26</v>
      </c>
      <c r="C737" s="4" t="s">
        <v>27</v>
      </c>
      <c r="D737" s="4" t="s">
        <v>28</v>
      </c>
      <c r="E737" s="4" t="s">
        <v>16</v>
      </c>
      <c r="F737" s="4" t="s">
        <v>17</v>
      </c>
      <c r="G737" s="7">
        <v>239362411400.634</v>
      </c>
    </row>
    <row ht="12.8" outlineLevel="0" r="738" s="4" customFormat="1">
      <c r="A738" s="17">
        <v>43709</v>
      </c>
      <c r="B738" s="4" t="s">
        <v>25</v>
      </c>
      <c r="C738" s="4" t="s">
        <v>23</v>
      </c>
      <c r="D738" s="4" t="s">
        <v>24</v>
      </c>
      <c r="E738" s="4" t="s">
        <v>10</v>
      </c>
      <c r="F738" s="4" t="s">
        <v>11</v>
      </c>
      <c r="G738" s="7">
        <v>713794886297.16</v>
      </c>
    </row>
    <row ht="12.8" outlineLevel="0" r="739" s="4" customFormat="1">
      <c r="A739" s="17">
        <v>43709</v>
      </c>
      <c r="B739" s="4" t="s">
        <v>25</v>
      </c>
      <c r="C739" s="4" t="s">
        <v>23</v>
      </c>
      <c r="D739" s="4" t="s">
        <v>24</v>
      </c>
      <c r="E739" s="4" t="s">
        <v>18</v>
      </c>
      <c r="F739" s="4" t="s">
        <v>19</v>
      </c>
      <c r="G739" s="7">
        <v>372501188934.91</v>
      </c>
    </row>
    <row ht="12.8" outlineLevel="0" r="740" s="4" customFormat="1">
      <c r="A740" s="17">
        <v>43709</v>
      </c>
      <c r="B740" s="4" t="s">
        <v>26</v>
      </c>
      <c r="C740" s="4" t="s">
        <v>27</v>
      </c>
      <c r="D740" s="4" t="s">
        <v>28</v>
      </c>
      <c r="E740" s="4" t="s">
        <v>18</v>
      </c>
      <c r="F740" s="4" t="s">
        <v>19</v>
      </c>
      <c r="G740" s="7">
        <v>223762151783.044</v>
      </c>
    </row>
    <row ht="12.8" outlineLevel="0" r="741" s="4" customFormat="1">
      <c r="A741" s="17">
        <v>43709</v>
      </c>
      <c r="B741" s="4" t="s">
        <v>35</v>
      </c>
      <c r="C741" s="4" t="s">
        <v>36</v>
      </c>
      <c r="D741" s="4" t="s">
        <v>37</v>
      </c>
      <c r="E741" s="4" t="s">
        <v>18</v>
      </c>
      <c r="F741" s="4" t="s">
        <v>19</v>
      </c>
      <c r="G741" s="7">
        <v>40359195907.7939</v>
      </c>
    </row>
    <row ht="12.8" outlineLevel="0" r="742" s="4" customFormat="1">
      <c r="A742" s="17">
        <v>43709</v>
      </c>
      <c r="B742" s="4" t="s">
        <v>13</v>
      </c>
      <c r="C742" s="4" t="s">
        <v>8</v>
      </c>
      <c r="D742" s="4" t="s">
        <v>9</v>
      </c>
      <c r="E742" s="4" t="s">
        <v>16</v>
      </c>
      <c r="F742" s="4" t="s">
        <v>17</v>
      </c>
      <c r="G742" s="7">
        <v>199470456864.733</v>
      </c>
    </row>
    <row ht="12.8" outlineLevel="0" r="743" s="4" customFormat="1">
      <c r="A743" s="17">
        <v>43709</v>
      </c>
      <c r="B743" s="4" t="s">
        <v>35</v>
      </c>
      <c r="C743" s="4" t="s">
        <v>36</v>
      </c>
      <c r="D743" s="4" t="s">
        <v>37</v>
      </c>
      <c r="E743" s="4" t="s">
        <v>14</v>
      </c>
      <c r="F743" s="4" t="s">
        <v>15</v>
      </c>
      <c r="G743" s="7">
        <v>58449324195.6339</v>
      </c>
    </row>
    <row ht="12.8" outlineLevel="0" r="744" s="4" customFormat="1">
      <c r="A744" s="17">
        <v>43709</v>
      </c>
      <c r="B744" s="4" t="s">
        <v>13</v>
      </c>
      <c r="C744" s="4" t="s">
        <v>8</v>
      </c>
      <c r="D744" s="4" t="s">
        <v>9</v>
      </c>
      <c r="E744" s="4" t="s">
        <v>14</v>
      </c>
      <c r="F744" s="4" t="s">
        <v>15</v>
      </c>
      <c r="G744" s="7">
        <v>265455908173.43</v>
      </c>
    </row>
    <row ht="12.8" outlineLevel="0" r="745" s="4" customFormat="1">
      <c r="A745" s="17">
        <v>43709</v>
      </c>
      <c r="B745" s="4" t="s">
        <v>7</v>
      </c>
      <c r="C745" s="4" t="s">
        <v>8</v>
      </c>
      <c r="D745" s="4" t="s">
        <v>9</v>
      </c>
      <c r="E745" s="4" t="s">
        <v>18</v>
      </c>
      <c r="F745" s="4" t="s">
        <v>19</v>
      </c>
      <c r="G745" s="7">
        <v>260325552447.58</v>
      </c>
    </row>
    <row ht="12.8" outlineLevel="0" r="746" s="4" customFormat="1">
      <c r="A746" s="17">
        <v>43709</v>
      </c>
      <c r="B746" s="4" t="s">
        <v>13</v>
      </c>
      <c r="C746" s="4" t="s">
        <v>8</v>
      </c>
      <c r="D746" s="4" t="s">
        <v>9</v>
      </c>
      <c r="E746" s="4" t="s">
        <v>18</v>
      </c>
      <c r="F746" s="4" t="s">
        <v>19</v>
      </c>
      <c r="G746" s="7">
        <v>193654277175.254</v>
      </c>
    </row>
    <row ht="12.8" outlineLevel="0" r="747" s="4" customFormat="1">
      <c r="A747" s="17">
        <v>43709</v>
      </c>
      <c r="B747" s="4" t="s">
        <v>29</v>
      </c>
      <c r="C747" s="4" t="s">
        <v>30</v>
      </c>
      <c r="D747" s="4" t="s">
        <v>31</v>
      </c>
      <c r="E747" s="4" t="s">
        <v>14</v>
      </c>
      <c r="F747" s="4" t="s">
        <v>15</v>
      </c>
      <c r="G747" s="7">
        <v>260319975626.14</v>
      </c>
    </row>
    <row ht="12.8" outlineLevel="0" r="748" s="4" customFormat="1">
      <c r="A748" s="17">
        <v>43709</v>
      </c>
      <c r="B748" s="4" t="s">
        <v>7</v>
      </c>
      <c r="C748" s="4" t="s">
        <v>8</v>
      </c>
      <c r="D748" s="4" t="s">
        <v>9</v>
      </c>
      <c r="E748" s="4" t="s">
        <v>16</v>
      </c>
      <c r="F748" s="4" t="s">
        <v>17</v>
      </c>
      <c r="G748" s="7">
        <v>260408954442.24</v>
      </c>
    </row>
    <row ht="12.8" outlineLevel="0" r="749" s="4" customFormat="1">
      <c r="A749" s="17">
        <v>43709</v>
      </c>
      <c r="B749" s="4" t="s">
        <v>13</v>
      </c>
      <c r="C749" s="4" t="s">
        <v>8</v>
      </c>
      <c r="D749" s="4" t="s">
        <v>9</v>
      </c>
      <c r="E749" s="4" t="s">
        <v>10</v>
      </c>
      <c r="F749" s="4" t="s">
        <v>11</v>
      </c>
      <c r="G749" s="7">
        <v>314466651117.04</v>
      </c>
    </row>
    <row ht="12.8" outlineLevel="0" r="750" s="4" customFormat="1">
      <c r="A750" s="17">
        <v>43709</v>
      </c>
      <c r="B750" s="4" t="s">
        <v>29</v>
      </c>
      <c r="C750" s="4" t="s">
        <v>30</v>
      </c>
      <c r="D750" s="4" t="s">
        <v>31</v>
      </c>
      <c r="E750" s="4" t="s">
        <v>10</v>
      </c>
      <c r="F750" s="4" t="s">
        <v>11</v>
      </c>
      <c r="G750" s="7">
        <v>378701449444</v>
      </c>
    </row>
    <row ht="12.8" outlineLevel="0" r="751" s="4" customFormat="1">
      <c r="A751" s="17">
        <v>43709</v>
      </c>
      <c r="B751" s="4" t="s">
        <v>38</v>
      </c>
      <c r="C751" s="4" t="s">
        <v>39</v>
      </c>
      <c r="D751" s="4" t="s">
        <v>40</v>
      </c>
      <c r="E751" s="4" t="s">
        <v>10</v>
      </c>
      <c r="F751" s="4" t="s">
        <v>11</v>
      </c>
      <c r="G751" s="7">
        <v>33403505954</v>
      </c>
    </row>
    <row ht="12.8" outlineLevel="0" r="752" s="4" customFormat="1">
      <c r="A752" s="17">
        <v>43709</v>
      </c>
      <c r="B752" s="4" t="s">
        <v>32</v>
      </c>
      <c r="C752" s="4" t="s">
        <v>33</v>
      </c>
      <c r="D752" s="4" t="s">
        <v>34</v>
      </c>
      <c r="E752" s="4" t="s">
        <v>14</v>
      </c>
      <c r="F752" s="4" t="s">
        <v>15</v>
      </c>
      <c r="G752" s="7">
        <v>18044063960.9473</v>
      </c>
    </row>
    <row ht="12.8" outlineLevel="0" r="753" s="4" customFormat="1">
      <c r="A753" s="17">
        <v>43709</v>
      </c>
      <c r="B753" s="4" t="s">
        <v>35</v>
      </c>
      <c r="C753" s="4" t="s">
        <v>36</v>
      </c>
      <c r="D753" s="4" t="s">
        <v>37</v>
      </c>
      <c r="E753" s="4" t="s">
        <v>16</v>
      </c>
      <c r="F753" s="4" t="s">
        <v>17</v>
      </c>
      <c r="G753" s="7">
        <v>40416394148.9339</v>
      </c>
    </row>
    <row ht="12.8" outlineLevel="0" r="754" s="4" customFormat="1">
      <c r="A754" s="17">
        <v>43709</v>
      </c>
      <c r="B754" s="4" t="s">
        <v>35</v>
      </c>
      <c r="C754" s="4" t="s">
        <v>36</v>
      </c>
      <c r="D754" s="4" t="s">
        <v>37</v>
      </c>
      <c r="E754" s="4" t="s">
        <v>10</v>
      </c>
      <c r="F754" s="4" t="s">
        <v>11</v>
      </c>
      <c r="G754" s="7">
        <v>94165717648</v>
      </c>
    </row>
    <row ht="12.8" outlineLevel="0" r="755" s="4" customFormat="1">
      <c r="A755" s="17">
        <v>43709</v>
      </c>
      <c r="B755" s="4" t="s">
        <v>32</v>
      </c>
      <c r="C755" s="4" t="s">
        <v>33</v>
      </c>
      <c r="D755" s="4" t="s">
        <v>34</v>
      </c>
      <c r="E755" s="4" t="s">
        <v>18</v>
      </c>
      <c r="F755" s="4" t="s">
        <v>19</v>
      </c>
      <c r="G755" s="7">
        <v>6344971421.9289</v>
      </c>
    </row>
    <row ht="12.8" outlineLevel="0" r="756" s="4" customFormat="1">
      <c r="A756" s="17">
        <v>43709</v>
      </c>
      <c r="B756" s="4" t="s">
        <v>7</v>
      </c>
      <c r="C756" s="4" t="s">
        <v>8</v>
      </c>
      <c r="D756" s="4" t="s">
        <v>9</v>
      </c>
      <c r="E756" s="4" t="s">
        <v>14</v>
      </c>
      <c r="F756" s="4" t="s">
        <v>15</v>
      </c>
      <c r="G756" s="7">
        <v>330565612840.68</v>
      </c>
    </row>
    <row ht="12.8" outlineLevel="0" r="757" s="4" customFormat="1">
      <c r="A757" s="17">
        <v>43709</v>
      </c>
      <c r="B757" s="4" t="s">
        <v>29</v>
      </c>
      <c r="C757" s="4" t="s">
        <v>30</v>
      </c>
      <c r="D757" s="4" t="s">
        <v>31</v>
      </c>
      <c r="E757" s="4" t="s">
        <v>16</v>
      </c>
      <c r="F757" s="4" t="s">
        <v>17</v>
      </c>
      <c r="G757" s="7">
        <v>255481194864.26</v>
      </c>
    </row>
    <row ht="12.8" outlineLevel="0" r="758" s="4" customFormat="1">
      <c r="A758" s="17">
        <v>43709</v>
      </c>
      <c r="B758" s="4" t="s">
        <v>7</v>
      </c>
      <c r="C758" s="4" t="s">
        <v>8</v>
      </c>
      <c r="D758" s="4" t="s">
        <v>9</v>
      </c>
      <c r="E758" s="4" t="s">
        <v>10</v>
      </c>
      <c r="F758" s="4" t="s">
        <v>11</v>
      </c>
      <c r="G758" s="7">
        <v>371163040503.73</v>
      </c>
    </row>
    <row ht="12.8" outlineLevel="0" r="759" s="4" customFormat="1">
      <c r="A759" s="17">
        <v>43709</v>
      </c>
      <c r="B759" s="4" t="s">
        <v>29</v>
      </c>
      <c r="C759" s="4" t="s">
        <v>30</v>
      </c>
      <c r="D759" s="4" t="s">
        <v>31</v>
      </c>
      <c r="E759" s="4" t="s">
        <v>18</v>
      </c>
      <c r="F759" s="4" t="s">
        <v>19</v>
      </c>
      <c r="G759" s="7">
        <v>255481194864.26</v>
      </c>
    </row>
    <row ht="12.8" outlineLevel="0" r="760" s="4" customFormat="1">
      <c r="A760" s="17">
        <v>43678</v>
      </c>
      <c r="B760" s="4" t="s">
        <v>29</v>
      </c>
      <c r="C760" s="4" t="s">
        <v>30</v>
      </c>
      <c r="D760" s="4" t="s">
        <v>31</v>
      </c>
      <c r="E760" s="4" t="s">
        <v>14</v>
      </c>
      <c r="F760" s="4" t="s">
        <v>15</v>
      </c>
      <c r="G760" s="7">
        <v>259297043248.09</v>
      </c>
    </row>
    <row ht="12.8" outlineLevel="0" r="761" s="4" customFormat="1">
      <c r="A761" s="17">
        <v>43678</v>
      </c>
      <c r="B761" s="4" t="s">
        <v>22</v>
      </c>
      <c r="C761" s="4" t="s">
        <v>23</v>
      </c>
      <c r="D761" s="4" t="s">
        <v>24</v>
      </c>
      <c r="E761" s="4" t="s">
        <v>18</v>
      </c>
      <c r="F761" s="4" t="s">
        <v>19</v>
      </c>
      <c r="G761" s="7">
        <v>228784260622.93</v>
      </c>
    </row>
    <row ht="12.8" outlineLevel="0" r="762" s="4" customFormat="1">
      <c r="A762" s="17">
        <v>43678</v>
      </c>
      <c r="B762" s="4" t="s">
        <v>22</v>
      </c>
      <c r="C762" s="4" t="s">
        <v>23</v>
      </c>
      <c r="D762" s="4" t="s">
        <v>24</v>
      </c>
      <c r="E762" s="4" t="s">
        <v>16</v>
      </c>
      <c r="F762" s="4" t="s">
        <v>17</v>
      </c>
      <c r="G762" s="7">
        <v>228784260622.93</v>
      </c>
    </row>
    <row ht="12.8" outlineLevel="0" r="763" s="4" customFormat="1">
      <c r="A763" s="17">
        <v>43678</v>
      </c>
      <c r="B763" s="4" t="s">
        <v>29</v>
      </c>
      <c r="C763" s="4" t="s">
        <v>30</v>
      </c>
      <c r="D763" s="4" t="s">
        <v>31</v>
      </c>
      <c r="E763" s="4" t="s">
        <v>10</v>
      </c>
      <c r="F763" s="4" t="s">
        <v>11</v>
      </c>
      <c r="G763" s="7">
        <v>378701749444</v>
      </c>
    </row>
    <row ht="12.8" outlineLevel="0" r="764" s="4" customFormat="1">
      <c r="A764" s="17">
        <v>43678</v>
      </c>
      <c r="B764" s="4" t="s">
        <v>32</v>
      </c>
      <c r="C764" s="4" t="s">
        <v>33</v>
      </c>
      <c r="D764" s="4" t="s">
        <v>34</v>
      </c>
      <c r="E764" s="4" t="s">
        <v>10</v>
      </c>
      <c r="F764" s="4" t="s">
        <v>11</v>
      </c>
      <c r="G764" s="7">
        <v>35838134202.99</v>
      </c>
    </row>
    <row ht="12.8" outlineLevel="0" r="765" s="4" customFormat="1">
      <c r="A765" s="17">
        <v>43678</v>
      </c>
      <c r="B765" s="4" t="s">
        <v>32</v>
      </c>
      <c r="C765" s="4" t="s">
        <v>33</v>
      </c>
      <c r="D765" s="4" t="s">
        <v>34</v>
      </c>
      <c r="E765" s="4" t="s">
        <v>14</v>
      </c>
      <c r="F765" s="4" t="s">
        <v>15</v>
      </c>
      <c r="G765" s="7">
        <v>16319908660.9421</v>
      </c>
    </row>
    <row ht="12.8" outlineLevel="0" r="766" s="4" customFormat="1">
      <c r="A766" s="17">
        <v>43678</v>
      </c>
      <c r="B766" s="4" t="s">
        <v>13</v>
      </c>
      <c r="C766" s="4" t="s">
        <v>8</v>
      </c>
      <c r="D766" s="4" t="s">
        <v>9</v>
      </c>
      <c r="E766" s="4" t="s">
        <v>10</v>
      </c>
      <c r="F766" s="4" t="s">
        <v>11</v>
      </c>
      <c r="G766" s="7">
        <v>315485883179.72</v>
      </c>
    </row>
    <row ht="12.8" outlineLevel="0" r="767" s="4" customFormat="1">
      <c r="A767" s="17">
        <v>43678</v>
      </c>
      <c r="B767" s="4" t="s">
        <v>26</v>
      </c>
      <c r="C767" s="4" t="s">
        <v>27</v>
      </c>
      <c r="D767" s="4" t="s">
        <v>28</v>
      </c>
      <c r="E767" s="4" t="s">
        <v>18</v>
      </c>
      <c r="F767" s="4" t="s">
        <v>19</v>
      </c>
      <c r="G767" s="7">
        <v>198639095083.823</v>
      </c>
    </row>
    <row ht="12.8" outlineLevel="0" r="768" s="4" customFormat="1">
      <c r="A768" s="17">
        <v>43678</v>
      </c>
      <c r="B768" s="4" t="s">
        <v>22</v>
      </c>
      <c r="C768" s="4" t="s">
        <v>23</v>
      </c>
      <c r="D768" s="4" t="s">
        <v>24</v>
      </c>
      <c r="E768" s="4" t="s">
        <v>14</v>
      </c>
      <c r="F768" s="4" t="s">
        <v>15</v>
      </c>
      <c r="G768" s="7">
        <v>229680710862.92</v>
      </c>
    </row>
    <row ht="12.8" outlineLevel="0" r="769" s="4" customFormat="1">
      <c r="A769" s="17">
        <v>43678</v>
      </c>
      <c r="B769" s="4" t="s">
        <v>32</v>
      </c>
      <c r="C769" s="4" t="s">
        <v>33</v>
      </c>
      <c r="D769" s="4" t="s">
        <v>34</v>
      </c>
      <c r="E769" s="4" t="s">
        <v>18</v>
      </c>
      <c r="F769" s="4" t="s">
        <v>19</v>
      </c>
      <c r="G769" s="7">
        <v>4849002625.567</v>
      </c>
    </row>
    <row ht="12.8" outlineLevel="0" r="770" s="4" customFormat="1">
      <c r="A770" s="17">
        <v>43678</v>
      </c>
      <c r="B770" s="4" t="s">
        <v>7</v>
      </c>
      <c r="C770" s="4" t="s">
        <v>8</v>
      </c>
      <c r="D770" s="4" t="s">
        <v>9</v>
      </c>
      <c r="E770" s="4" t="s">
        <v>10</v>
      </c>
      <c r="F770" s="4" t="s">
        <v>11</v>
      </c>
      <c r="G770" s="7">
        <v>371184057455.91</v>
      </c>
    </row>
    <row ht="12.8" outlineLevel="0" r="771" s="4" customFormat="1">
      <c r="A771" s="17">
        <v>43678</v>
      </c>
      <c r="B771" s="4" t="s">
        <v>7</v>
      </c>
      <c r="C771" s="4" t="s">
        <v>8</v>
      </c>
      <c r="D771" s="4" t="s">
        <v>9</v>
      </c>
      <c r="E771" s="4" t="s">
        <v>18</v>
      </c>
      <c r="F771" s="4" t="s">
        <v>19</v>
      </c>
      <c r="G771" s="7">
        <v>235163721291.22</v>
      </c>
    </row>
    <row ht="12.8" outlineLevel="0" r="772" s="4" customFormat="1">
      <c r="A772" s="17">
        <v>43678</v>
      </c>
      <c r="B772" s="4" t="s">
        <v>32</v>
      </c>
      <c r="C772" s="4" t="s">
        <v>33</v>
      </c>
      <c r="D772" s="4" t="s">
        <v>34</v>
      </c>
      <c r="E772" s="4" t="s">
        <v>16</v>
      </c>
      <c r="F772" s="4" t="s">
        <v>17</v>
      </c>
      <c r="G772" s="7">
        <v>5506752930.0686</v>
      </c>
    </row>
    <row ht="12.8" outlineLevel="0" r="773" s="4" customFormat="1">
      <c r="A773" s="17">
        <v>43678</v>
      </c>
      <c r="B773" s="4" t="s">
        <v>7</v>
      </c>
      <c r="C773" s="4" t="s">
        <v>8</v>
      </c>
      <c r="D773" s="4" t="s">
        <v>9</v>
      </c>
      <c r="E773" s="4" t="s">
        <v>14</v>
      </c>
      <c r="F773" s="4" t="s">
        <v>15</v>
      </c>
      <c r="G773" s="7">
        <v>328710643859.56</v>
      </c>
    </row>
    <row ht="12.8" outlineLevel="0" r="774" s="4" customFormat="1">
      <c r="A774" s="17">
        <v>43678</v>
      </c>
      <c r="B774" s="4" t="s">
        <v>26</v>
      </c>
      <c r="C774" s="4" t="s">
        <v>27</v>
      </c>
      <c r="D774" s="4" t="s">
        <v>28</v>
      </c>
      <c r="E774" s="4" t="s">
        <v>14</v>
      </c>
      <c r="F774" s="4" t="s">
        <v>15</v>
      </c>
      <c r="G774" s="7">
        <v>286571873414.586</v>
      </c>
    </row>
    <row ht="12.8" outlineLevel="0" r="775" s="4" customFormat="1">
      <c r="A775" s="17">
        <v>43678</v>
      </c>
      <c r="B775" s="4" t="s">
        <v>26</v>
      </c>
      <c r="C775" s="4" t="s">
        <v>27</v>
      </c>
      <c r="D775" s="4" t="s">
        <v>28</v>
      </c>
      <c r="E775" s="4" t="s">
        <v>16</v>
      </c>
      <c r="F775" s="4" t="s">
        <v>17</v>
      </c>
      <c r="G775" s="7">
        <v>214288383487.753</v>
      </c>
    </row>
    <row ht="12.8" outlineLevel="0" r="776" s="4" customFormat="1">
      <c r="A776" s="17">
        <v>43678</v>
      </c>
      <c r="B776" s="4" t="s">
        <v>7</v>
      </c>
      <c r="C776" s="4" t="s">
        <v>8</v>
      </c>
      <c r="D776" s="4" t="s">
        <v>9</v>
      </c>
      <c r="E776" s="4" t="s">
        <v>16</v>
      </c>
      <c r="F776" s="4" t="s">
        <v>17</v>
      </c>
      <c r="G776" s="7">
        <v>235206844224.86</v>
      </c>
    </row>
    <row ht="12.8" outlineLevel="0" r="777" s="4" customFormat="1">
      <c r="A777" s="17">
        <v>43678</v>
      </c>
      <c r="B777" s="4" t="s">
        <v>26</v>
      </c>
      <c r="C777" s="4" t="s">
        <v>27</v>
      </c>
      <c r="D777" s="4" t="s">
        <v>28</v>
      </c>
      <c r="E777" s="4" t="s">
        <v>10</v>
      </c>
      <c r="F777" s="4" t="s">
        <v>11</v>
      </c>
      <c r="G777" s="7">
        <v>349912901997</v>
      </c>
    </row>
    <row ht="12.8" outlineLevel="0" r="778" s="4" customFormat="1">
      <c r="A778" s="17">
        <v>43678</v>
      </c>
      <c r="B778" s="4" t="s">
        <v>13</v>
      </c>
      <c r="C778" s="4" t="s">
        <v>8</v>
      </c>
      <c r="D778" s="4" t="s">
        <v>9</v>
      </c>
      <c r="E778" s="4" t="s">
        <v>18</v>
      </c>
      <c r="F778" s="4" t="s">
        <v>19</v>
      </c>
      <c r="G778" s="7">
        <v>171700491269.195</v>
      </c>
    </row>
    <row ht="12.8" outlineLevel="0" r="779" s="4" customFormat="1">
      <c r="A779" s="17">
        <v>43678</v>
      </c>
      <c r="B779" s="4" t="s">
        <v>35</v>
      </c>
      <c r="C779" s="4" t="s">
        <v>36</v>
      </c>
      <c r="D779" s="4" t="s">
        <v>37</v>
      </c>
      <c r="E779" s="4" t="s">
        <v>10</v>
      </c>
      <c r="F779" s="4" t="s">
        <v>11</v>
      </c>
      <c r="G779" s="7">
        <v>94225693902</v>
      </c>
    </row>
    <row ht="12.8" outlineLevel="0" r="780" s="4" customFormat="1">
      <c r="A780" s="17">
        <v>43678</v>
      </c>
      <c r="B780" s="4" t="s">
        <v>25</v>
      </c>
      <c r="C780" s="4" t="s">
        <v>23</v>
      </c>
      <c r="D780" s="4" t="s">
        <v>24</v>
      </c>
      <c r="E780" s="4" t="s">
        <v>10</v>
      </c>
      <c r="F780" s="4" t="s">
        <v>11</v>
      </c>
      <c r="G780" s="7">
        <v>713794886297.16</v>
      </c>
    </row>
    <row ht="12.8" outlineLevel="0" r="781" s="4" customFormat="1">
      <c r="A781" s="17">
        <v>43678</v>
      </c>
      <c r="B781" s="4" t="s">
        <v>35</v>
      </c>
      <c r="C781" s="4" t="s">
        <v>36</v>
      </c>
      <c r="D781" s="4" t="s">
        <v>37</v>
      </c>
      <c r="E781" s="4" t="s">
        <v>14</v>
      </c>
      <c r="F781" s="4" t="s">
        <v>15</v>
      </c>
      <c r="G781" s="7">
        <v>57739535280.2188</v>
      </c>
    </row>
    <row ht="12.8" outlineLevel="0" r="782" s="4" customFormat="1">
      <c r="A782" s="17">
        <v>43678</v>
      </c>
      <c r="B782" s="4" t="s">
        <v>12</v>
      </c>
      <c r="C782" s="4" t="s">
        <v>8</v>
      </c>
      <c r="D782" s="4" t="s">
        <v>9</v>
      </c>
      <c r="E782" s="4" t="s">
        <v>16</v>
      </c>
      <c r="F782" s="4" t="s">
        <v>17</v>
      </c>
      <c r="G782" s="7">
        <v>412436945700.68</v>
      </c>
    </row>
    <row ht="12.8" outlineLevel="0" r="783" s="4" customFormat="1">
      <c r="A783" s="17">
        <v>43678</v>
      </c>
      <c r="B783" s="4" t="s">
        <v>22</v>
      </c>
      <c r="C783" s="4" t="s">
        <v>23</v>
      </c>
      <c r="D783" s="4" t="s">
        <v>24</v>
      </c>
      <c r="E783" s="4" t="s">
        <v>10</v>
      </c>
      <c r="F783" s="4" t="s">
        <v>11</v>
      </c>
      <c r="G783" s="7">
        <v>332538475601.84</v>
      </c>
    </row>
    <row ht="12.8" outlineLevel="0" r="784" s="4" customFormat="1">
      <c r="A784" s="17">
        <v>43678</v>
      </c>
      <c r="B784" s="4" t="s">
        <v>25</v>
      </c>
      <c r="C784" s="4" t="s">
        <v>23</v>
      </c>
      <c r="D784" s="4" t="s">
        <v>24</v>
      </c>
      <c r="E784" s="4" t="s">
        <v>16</v>
      </c>
      <c r="F784" s="4" t="s">
        <v>17</v>
      </c>
      <c r="G784" s="7">
        <v>370006415209.71</v>
      </c>
    </row>
    <row ht="12.8" outlineLevel="0" r="785" s="4" customFormat="1">
      <c r="A785" s="17">
        <v>43678</v>
      </c>
      <c r="B785" s="4" t="s">
        <v>29</v>
      </c>
      <c r="C785" s="4" t="s">
        <v>30</v>
      </c>
      <c r="D785" s="4" t="s">
        <v>31</v>
      </c>
      <c r="E785" s="4" t="s">
        <v>16</v>
      </c>
      <c r="F785" s="4" t="s">
        <v>17</v>
      </c>
      <c r="G785" s="7">
        <v>254001980075.63</v>
      </c>
    </row>
    <row ht="12.8" outlineLevel="0" r="786" s="4" customFormat="1">
      <c r="A786" s="17">
        <v>43678</v>
      </c>
      <c r="B786" s="4" t="s">
        <v>25</v>
      </c>
      <c r="C786" s="4" t="s">
        <v>23</v>
      </c>
      <c r="D786" s="4" t="s">
        <v>24</v>
      </c>
      <c r="E786" s="4" t="s">
        <v>18</v>
      </c>
      <c r="F786" s="4" t="s">
        <v>19</v>
      </c>
      <c r="G786" s="7">
        <v>370006415209.71</v>
      </c>
    </row>
    <row ht="12.8" outlineLevel="0" r="787" s="4" customFormat="1">
      <c r="A787" s="17">
        <v>43678</v>
      </c>
      <c r="B787" s="4" t="s">
        <v>25</v>
      </c>
      <c r="C787" s="4" t="s">
        <v>23</v>
      </c>
      <c r="D787" s="4" t="s">
        <v>24</v>
      </c>
      <c r="E787" s="4" t="s">
        <v>14</v>
      </c>
      <c r="F787" s="4" t="s">
        <v>15</v>
      </c>
      <c r="G787" s="7">
        <v>450916248096.53</v>
      </c>
    </row>
    <row ht="12.8" outlineLevel="0" r="788" s="4" customFormat="1">
      <c r="A788" s="17">
        <v>43678</v>
      </c>
      <c r="B788" s="4" t="s">
        <v>12</v>
      </c>
      <c r="C788" s="4" t="s">
        <v>8</v>
      </c>
      <c r="D788" s="4" t="s">
        <v>9</v>
      </c>
      <c r="E788" s="4" t="s">
        <v>10</v>
      </c>
      <c r="F788" s="4" t="s">
        <v>11</v>
      </c>
      <c r="G788" s="7">
        <v>637551932740</v>
      </c>
    </row>
    <row ht="12.8" outlineLevel="0" r="789" s="4" customFormat="1">
      <c r="A789" s="17">
        <v>43678</v>
      </c>
      <c r="B789" s="4" t="s">
        <v>12</v>
      </c>
      <c r="C789" s="4" t="s">
        <v>8</v>
      </c>
      <c r="D789" s="4" t="s">
        <v>9</v>
      </c>
      <c r="E789" s="4" t="s">
        <v>14</v>
      </c>
      <c r="F789" s="4" t="s">
        <v>15</v>
      </c>
      <c r="G789" s="7">
        <v>628525349939.48</v>
      </c>
    </row>
    <row ht="12.8" outlineLevel="0" r="790" s="4" customFormat="1">
      <c r="A790" s="17">
        <v>43678</v>
      </c>
      <c r="B790" s="4" t="s">
        <v>13</v>
      </c>
      <c r="C790" s="4" t="s">
        <v>8</v>
      </c>
      <c r="D790" s="4" t="s">
        <v>9</v>
      </c>
      <c r="E790" s="4" t="s">
        <v>16</v>
      </c>
      <c r="F790" s="4" t="s">
        <v>17</v>
      </c>
      <c r="G790" s="7">
        <v>177990562342.734</v>
      </c>
    </row>
    <row ht="12.8" outlineLevel="0" r="791" s="4" customFormat="1">
      <c r="A791" s="17">
        <v>43678</v>
      </c>
      <c r="B791" s="4" t="s">
        <v>13</v>
      </c>
      <c r="C791" s="4" t="s">
        <v>8</v>
      </c>
      <c r="D791" s="4" t="s">
        <v>9</v>
      </c>
      <c r="E791" s="4" t="s">
        <v>14</v>
      </c>
      <c r="F791" s="4" t="s">
        <v>15</v>
      </c>
      <c r="G791" s="7">
        <v>257710213997.469</v>
      </c>
    </row>
    <row ht="12.8" outlineLevel="0" r="792" s="4" customFormat="1">
      <c r="A792" s="17">
        <v>43678</v>
      </c>
      <c r="B792" s="4" t="s">
        <v>12</v>
      </c>
      <c r="C792" s="4" t="s">
        <v>8</v>
      </c>
      <c r="D792" s="4" t="s">
        <v>9</v>
      </c>
      <c r="E792" s="4" t="s">
        <v>18</v>
      </c>
      <c r="F792" s="4" t="s">
        <v>19</v>
      </c>
      <c r="G792" s="7">
        <v>358056761564.47</v>
      </c>
    </row>
    <row ht="12.8" outlineLevel="0" r="793" s="4" customFormat="1">
      <c r="A793" s="17">
        <v>43678</v>
      </c>
      <c r="B793" s="4" t="s">
        <v>35</v>
      </c>
      <c r="C793" s="4" t="s">
        <v>36</v>
      </c>
      <c r="D793" s="4" t="s">
        <v>37</v>
      </c>
      <c r="E793" s="4" t="s">
        <v>16</v>
      </c>
      <c r="F793" s="4" t="s">
        <v>17</v>
      </c>
      <c r="G793" s="7">
        <v>36104642380.2388</v>
      </c>
    </row>
    <row ht="12.8" outlineLevel="0" r="794" s="4" customFormat="1">
      <c r="A794" s="17">
        <v>43678</v>
      </c>
      <c r="B794" s="4" t="s">
        <v>35</v>
      </c>
      <c r="C794" s="4" t="s">
        <v>36</v>
      </c>
      <c r="D794" s="4" t="s">
        <v>37</v>
      </c>
      <c r="E794" s="4" t="s">
        <v>18</v>
      </c>
      <c r="F794" s="4" t="s">
        <v>19</v>
      </c>
      <c r="G794" s="7">
        <v>35698430752.5388</v>
      </c>
    </row>
    <row ht="12.8" outlineLevel="0" r="795" s="4" customFormat="1">
      <c r="A795" s="17">
        <v>43678</v>
      </c>
      <c r="B795" s="4" t="s">
        <v>29</v>
      </c>
      <c r="C795" s="4" t="s">
        <v>30</v>
      </c>
      <c r="D795" s="4" t="s">
        <v>31</v>
      </c>
      <c r="E795" s="4" t="s">
        <v>18</v>
      </c>
      <c r="F795" s="4" t="s">
        <v>19</v>
      </c>
      <c r="G795" s="7">
        <v>254001980075.63</v>
      </c>
    </row>
    <row ht="12.8" outlineLevel="0" r="796" s="4" customFormat="1">
      <c r="A796" s="17">
        <v>43678</v>
      </c>
      <c r="B796" s="4" t="s">
        <v>38</v>
      </c>
      <c r="C796" s="4" t="s">
        <v>39</v>
      </c>
      <c r="D796" s="4" t="s">
        <v>40</v>
      </c>
      <c r="E796" s="4" t="s">
        <v>10</v>
      </c>
      <c r="F796" s="4" t="s">
        <v>11</v>
      </c>
      <c r="G796" s="7">
        <v>33403505954</v>
      </c>
    </row>
    <row ht="12.8" outlineLevel="0" r="797" s="4" customFormat="1">
      <c r="A797" s="17">
        <v>43647</v>
      </c>
      <c r="B797" s="4" t="s">
        <v>7</v>
      </c>
      <c r="C797" s="4" t="s">
        <v>8</v>
      </c>
      <c r="D797" s="4" t="s">
        <v>9</v>
      </c>
      <c r="E797" s="4" t="s">
        <v>18</v>
      </c>
      <c r="F797" s="4" t="s">
        <v>19</v>
      </c>
      <c r="G797" s="7">
        <v>204081630067.79</v>
      </c>
    </row>
    <row ht="12.8" outlineLevel="0" r="798" s="4" customFormat="1">
      <c r="A798" s="17">
        <v>43647</v>
      </c>
      <c r="B798" s="4" t="s">
        <v>7</v>
      </c>
      <c r="C798" s="4" t="s">
        <v>8</v>
      </c>
      <c r="D798" s="4" t="s">
        <v>9</v>
      </c>
      <c r="E798" s="4" t="s">
        <v>10</v>
      </c>
      <c r="F798" s="4" t="s">
        <v>11</v>
      </c>
      <c r="G798" s="7">
        <v>370951469045.08</v>
      </c>
    </row>
    <row ht="12.8" outlineLevel="0" r="799" s="4" customFormat="1">
      <c r="A799" s="17">
        <v>43647</v>
      </c>
      <c r="B799" s="4" t="s">
        <v>29</v>
      </c>
      <c r="C799" s="4" t="s">
        <v>30</v>
      </c>
      <c r="D799" s="4" t="s">
        <v>31</v>
      </c>
      <c r="E799" s="4" t="s">
        <v>18</v>
      </c>
      <c r="F799" s="4" t="s">
        <v>19</v>
      </c>
      <c r="G799" s="7">
        <v>227197512738.7</v>
      </c>
    </row>
    <row ht="12.8" outlineLevel="0" r="800" s="4" customFormat="1">
      <c r="A800" s="17">
        <v>43647</v>
      </c>
      <c r="B800" s="4" t="s">
        <v>38</v>
      </c>
      <c r="C800" s="4" t="s">
        <v>39</v>
      </c>
      <c r="D800" s="4" t="s">
        <v>40</v>
      </c>
      <c r="E800" s="4" t="s">
        <v>10</v>
      </c>
      <c r="F800" s="4" t="s">
        <v>11</v>
      </c>
      <c r="G800" s="7">
        <v>33403505954</v>
      </c>
    </row>
    <row ht="12.8" outlineLevel="0" r="801" s="4" customFormat="1">
      <c r="A801" s="17">
        <v>43647</v>
      </c>
      <c r="B801" s="4" t="s">
        <v>7</v>
      </c>
      <c r="C801" s="4" t="s">
        <v>8</v>
      </c>
      <c r="D801" s="4" t="s">
        <v>9</v>
      </c>
      <c r="E801" s="4" t="s">
        <v>16</v>
      </c>
      <c r="F801" s="4" t="s">
        <v>17</v>
      </c>
      <c r="G801" s="7">
        <v>204098672419.39</v>
      </c>
    </row>
    <row ht="12.8" outlineLevel="0" r="802" s="4" customFormat="1">
      <c r="A802" s="17">
        <v>43647</v>
      </c>
      <c r="B802" s="4" t="s">
        <v>32</v>
      </c>
      <c r="C802" s="4" t="s">
        <v>33</v>
      </c>
      <c r="D802" s="4" t="s">
        <v>34</v>
      </c>
      <c r="E802" s="4" t="s">
        <v>18</v>
      </c>
      <c r="F802" s="4" t="s">
        <v>19</v>
      </c>
      <c r="G802" s="7">
        <v>3712104995.7976</v>
      </c>
    </row>
    <row ht="12.8" outlineLevel="0" r="803" s="4" customFormat="1">
      <c r="A803" s="17">
        <v>43647</v>
      </c>
      <c r="B803" s="4" t="s">
        <v>13</v>
      </c>
      <c r="C803" s="4" t="s">
        <v>8</v>
      </c>
      <c r="D803" s="4" t="s">
        <v>9</v>
      </c>
      <c r="E803" s="4" t="s">
        <v>16</v>
      </c>
      <c r="F803" s="4" t="s">
        <v>17</v>
      </c>
      <c r="G803" s="7">
        <v>156143130854.526</v>
      </c>
    </row>
    <row ht="12.8" outlineLevel="0" r="804" s="4" customFormat="1">
      <c r="A804" s="17">
        <v>43647</v>
      </c>
      <c r="B804" s="4" t="s">
        <v>7</v>
      </c>
      <c r="C804" s="4" t="s">
        <v>8</v>
      </c>
      <c r="D804" s="4" t="s">
        <v>9</v>
      </c>
      <c r="E804" s="4" t="s">
        <v>14</v>
      </c>
      <c r="F804" s="4" t="s">
        <v>15</v>
      </c>
      <c r="G804" s="7">
        <v>317736462949.92</v>
      </c>
    </row>
    <row ht="12.8" outlineLevel="0" r="805" s="4" customFormat="1">
      <c r="A805" s="17">
        <v>43647</v>
      </c>
      <c r="B805" s="4" t="s">
        <v>13</v>
      </c>
      <c r="C805" s="4" t="s">
        <v>8</v>
      </c>
      <c r="D805" s="4" t="s">
        <v>9</v>
      </c>
      <c r="E805" s="4" t="s">
        <v>18</v>
      </c>
      <c r="F805" s="4" t="s">
        <v>19</v>
      </c>
      <c r="G805" s="7">
        <v>150283569540.205</v>
      </c>
    </row>
    <row ht="12.8" outlineLevel="0" r="806" s="4" customFormat="1">
      <c r="A806" s="17">
        <v>43647</v>
      </c>
      <c r="B806" s="4" t="s">
        <v>25</v>
      </c>
      <c r="C806" s="4" t="s">
        <v>23</v>
      </c>
      <c r="D806" s="4" t="s">
        <v>24</v>
      </c>
      <c r="E806" s="4" t="s">
        <v>10</v>
      </c>
      <c r="F806" s="4" t="s">
        <v>11</v>
      </c>
      <c r="G806" s="7">
        <v>713794886297.16</v>
      </c>
    </row>
    <row ht="12.8" outlineLevel="0" r="807" s="4" customFormat="1">
      <c r="A807" s="17">
        <v>43647</v>
      </c>
      <c r="B807" s="4" t="s">
        <v>22</v>
      </c>
      <c r="C807" s="4" t="s">
        <v>23</v>
      </c>
      <c r="D807" s="4" t="s">
        <v>24</v>
      </c>
      <c r="E807" s="4" t="s">
        <v>10</v>
      </c>
      <c r="F807" s="4" t="s">
        <v>11</v>
      </c>
      <c r="G807" s="7">
        <v>332538475601.84</v>
      </c>
    </row>
    <row ht="12.8" outlineLevel="0" r="808" s="4" customFormat="1">
      <c r="A808" s="17">
        <v>43647</v>
      </c>
      <c r="B808" s="4" t="s">
        <v>25</v>
      </c>
      <c r="C808" s="4" t="s">
        <v>23</v>
      </c>
      <c r="D808" s="4" t="s">
        <v>24</v>
      </c>
      <c r="E808" s="4" t="s">
        <v>16</v>
      </c>
      <c r="F808" s="4" t="s">
        <v>17</v>
      </c>
      <c r="G808" s="7">
        <v>366069379524.73</v>
      </c>
    </row>
    <row ht="12.8" outlineLevel="0" r="809" s="4" customFormat="1">
      <c r="A809" s="17">
        <v>43647</v>
      </c>
      <c r="B809" s="4" t="s">
        <v>25</v>
      </c>
      <c r="C809" s="4" t="s">
        <v>23</v>
      </c>
      <c r="D809" s="4" t="s">
        <v>24</v>
      </c>
      <c r="E809" s="4" t="s">
        <v>14</v>
      </c>
      <c r="F809" s="4" t="s">
        <v>15</v>
      </c>
      <c r="G809" s="7">
        <v>447455261229.29</v>
      </c>
    </row>
    <row ht="12.8" outlineLevel="0" r="810" s="4" customFormat="1">
      <c r="A810" s="17">
        <v>43647</v>
      </c>
      <c r="B810" s="4" t="s">
        <v>22</v>
      </c>
      <c r="C810" s="4" t="s">
        <v>23</v>
      </c>
      <c r="D810" s="4" t="s">
        <v>24</v>
      </c>
      <c r="E810" s="4" t="s">
        <v>14</v>
      </c>
      <c r="F810" s="4" t="s">
        <v>15</v>
      </c>
      <c r="G810" s="7">
        <v>229680710862.92</v>
      </c>
    </row>
    <row ht="12.8" outlineLevel="0" r="811" s="4" customFormat="1">
      <c r="A811" s="17">
        <v>43647</v>
      </c>
      <c r="B811" s="4" t="s">
        <v>32</v>
      </c>
      <c r="C811" s="4" t="s">
        <v>33</v>
      </c>
      <c r="D811" s="4" t="s">
        <v>34</v>
      </c>
      <c r="E811" s="4" t="s">
        <v>16</v>
      </c>
      <c r="F811" s="4" t="s">
        <v>17</v>
      </c>
      <c r="G811" s="7">
        <v>4064615520.9576</v>
      </c>
    </row>
    <row ht="12.8" outlineLevel="0" r="812" s="4" customFormat="1">
      <c r="A812" s="17">
        <v>43647</v>
      </c>
      <c r="B812" s="4" t="s">
        <v>25</v>
      </c>
      <c r="C812" s="4" t="s">
        <v>23</v>
      </c>
      <c r="D812" s="4" t="s">
        <v>24</v>
      </c>
      <c r="E812" s="4" t="s">
        <v>18</v>
      </c>
      <c r="F812" s="4" t="s">
        <v>19</v>
      </c>
      <c r="G812" s="7">
        <v>366069379524.73</v>
      </c>
    </row>
    <row ht="12.8" outlineLevel="0" r="813" s="4" customFormat="1">
      <c r="A813" s="17">
        <v>43647</v>
      </c>
      <c r="B813" s="4" t="s">
        <v>32</v>
      </c>
      <c r="C813" s="4" t="s">
        <v>33</v>
      </c>
      <c r="D813" s="4" t="s">
        <v>34</v>
      </c>
      <c r="E813" s="4" t="s">
        <v>10</v>
      </c>
      <c r="F813" s="4" t="s">
        <v>11</v>
      </c>
      <c r="G813" s="7">
        <v>35897741926</v>
      </c>
    </row>
    <row ht="12.8" outlineLevel="0" r="814" s="4" customFormat="1">
      <c r="A814" s="17">
        <v>43647</v>
      </c>
      <c r="B814" s="4" t="s">
        <v>32</v>
      </c>
      <c r="C814" s="4" t="s">
        <v>33</v>
      </c>
      <c r="D814" s="4" t="s">
        <v>34</v>
      </c>
      <c r="E814" s="4" t="s">
        <v>14</v>
      </c>
      <c r="F814" s="4" t="s">
        <v>15</v>
      </c>
      <c r="G814" s="7">
        <v>14282155821.0465</v>
      </c>
    </row>
    <row ht="12.8" outlineLevel="0" r="815" s="4" customFormat="1">
      <c r="A815" s="17">
        <v>43647</v>
      </c>
      <c r="B815" s="4" t="s">
        <v>13</v>
      </c>
      <c r="C815" s="4" t="s">
        <v>8</v>
      </c>
      <c r="D815" s="4" t="s">
        <v>9</v>
      </c>
      <c r="E815" s="4" t="s">
        <v>10</v>
      </c>
      <c r="F815" s="4" t="s">
        <v>11</v>
      </c>
      <c r="G815" s="7">
        <v>315654963868.45</v>
      </c>
    </row>
    <row ht="12.8" outlineLevel="0" r="816" s="4" customFormat="1">
      <c r="A816" s="17">
        <v>43647</v>
      </c>
      <c r="B816" s="4" t="s">
        <v>22</v>
      </c>
      <c r="C816" s="4" t="s">
        <v>23</v>
      </c>
      <c r="D816" s="4" t="s">
        <v>24</v>
      </c>
      <c r="E816" s="4" t="s">
        <v>18</v>
      </c>
      <c r="F816" s="4" t="s">
        <v>19</v>
      </c>
      <c r="G816" s="7">
        <v>228757694120.21</v>
      </c>
    </row>
    <row ht="12.8" outlineLevel="0" r="817" s="4" customFormat="1">
      <c r="A817" s="17">
        <v>43647</v>
      </c>
      <c r="B817" s="4" t="s">
        <v>12</v>
      </c>
      <c r="C817" s="4" t="s">
        <v>8</v>
      </c>
      <c r="D817" s="4" t="s">
        <v>9</v>
      </c>
      <c r="E817" s="4" t="s">
        <v>16</v>
      </c>
      <c r="F817" s="4" t="s">
        <v>17</v>
      </c>
      <c r="G817" s="7">
        <v>340935595082.64</v>
      </c>
    </row>
    <row ht="12.8" outlineLevel="0" r="818" s="4" customFormat="1">
      <c r="A818" s="17">
        <v>43647</v>
      </c>
      <c r="B818" s="4" t="s">
        <v>35</v>
      </c>
      <c r="C818" s="4" t="s">
        <v>36</v>
      </c>
      <c r="D818" s="4" t="s">
        <v>37</v>
      </c>
      <c r="E818" s="4" t="s">
        <v>14</v>
      </c>
      <c r="F818" s="4" t="s">
        <v>15</v>
      </c>
      <c r="G818" s="7">
        <v>56761778690.4568</v>
      </c>
    </row>
    <row ht="12.8" outlineLevel="0" r="819" s="4" customFormat="1">
      <c r="A819" s="17">
        <v>43647</v>
      </c>
      <c r="B819" s="4" t="s">
        <v>35</v>
      </c>
      <c r="C819" s="4" t="s">
        <v>36</v>
      </c>
      <c r="D819" s="4" t="s">
        <v>37</v>
      </c>
      <c r="E819" s="4" t="s">
        <v>16</v>
      </c>
      <c r="F819" s="4" t="s">
        <v>17</v>
      </c>
      <c r="G819" s="7">
        <v>31048001388.5868</v>
      </c>
    </row>
    <row ht="12.8" outlineLevel="0" r="820" s="4" customFormat="1">
      <c r="A820" s="17">
        <v>43647</v>
      </c>
      <c r="B820" s="4" t="s">
        <v>12</v>
      </c>
      <c r="C820" s="4" t="s">
        <v>8</v>
      </c>
      <c r="D820" s="4" t="s">
        <v>9</v>
      </c>
      <c r="E820" s="4" t="s">
        <v>18</v>
      </c>
      <c r="F820" s="4" t="s">
        <v>19</v>
      </c>
      <c r="G820" s="7">
        <v>304471474362.12</v>
      </c>
    </row>
    <row ht="12.8" outlineLevel="0" r="821" s="4" customFormat="1">
      <c r="A821" s="17">
        <v>43647</v>
      </c>
      <c r="B821" s="4" t="s">
        <v>12</v>
      </c>
      <c r="C821" s="4" t="s">
        <v>8</v>
      </c>
      <c r="D821" s="4" t="s">
        <v>9</v>
      </c>
      <c r="E821" s="4" t="s">
        <v>10</v>
      </c>
      <c r="F821" s="4" t="s">
        <v>11</v>
      </c>
      <c r="G821" s="7">
        <v>637551932740</v>
      </c>
    </row>
    <row ht="12.8" outlineLevel="0" r="822" s="4" customFormat="1">
      <c r="A822" s="17">
        <v>43647</v>
      </c>
      <c r="B822" s="4" t="s">
        <v>12</v>
      </c>
      <c r="C822" s="4" t="s">
        <v>8</v>
      </c>
      <c r="D822" s="4" t="s">
        <v>9</v>
      </c>
      <c r="E822" s="4" t="s">
        <v>14</v>
      </c>
      <c r="F822" s="4" t="s">
        <v>15</v>
      </c>
      <c r="G822" s="7">
        <v>627039074718.93</v>
      </c>
    </row>
    <row ht="12.8" outlineLevel="0" r="823" s="4" customFormat="1">
      <c r="A823" s="17">
        <v>43647</v>
      </c>
      <c r="B823" s="4" t="s">
        <v>29</v>
      </c>
      <c r="C823" s="4" t="s">
        <v>30</v>
      </c>
      <c r="D823" s="4" t="s">
        <v>31</v>
      </c>
      <c r="E823" s="4" t="s">
        <v>16</v>
      </c>
      <c r="F823" s="4" t="s">
        <v>17</v>
      </c>
      <c r="G823" s="7">
        <v>227197512738.7</v>
      </c>
    </row>
    <row ht="12.8" outlineLevel="0" r="824" s="4" customFormat="1">
      <c r="A824" s="17">
        <v>43647</v>
      </c>
      <c r="B824" s="4" t="s">
        <v>22</v>
      </c>
      <c r="C824" s="4" t="s">
        <v>23</v>
      </c>
      <c r="D824" s="4" t="s">
        <v>24</v>
      </c>
      <c r="E824" s="4" t="s">
        <v>16</v>
      </c>
      <c r="F824" s="4" t="s">
        <v>17</v>
      </c>
      <c r="G824" s="7">
        <v>228757694120.21</v>
      </c>
    </row>
    <row ht="12.8" outlineLevel="0" r="825" s="4" customFormat="1">
      <c r="A825" s="17">
        <v>43647</v>
      </c>
      <c r="B825" s="4" t="s">
        <v>35</v>
      </c>
      <c r="C825" s="4" t="s">
        <v>36</v>
      </c>
      <c r="D825" s="4" t="s">
        <v>37</v>
      </c>
      <c r="E825" s="4" t="s">
        <v>10</v>
      </c>
      <c r="F825" s="4" t="s">
        <v>11</v>
      </c>
      <c r="G825" s="7">
        <v>94229593902</v>
      </c>
    </row>
    <row ht="12.8" outlineLevel="0" r="826" s="4" customFormat="1">
      <c r="A826" s="17">
        <v>43647</v>
      </c>
      <c r="B826" s="4" t="s">
        <v>26</v>
      </c>
      <c r="C826" s="4" t="s">
        <v>27</v>
      </c>
      <c r="D826" s="4" t="s">
        <v>28</v>
      </c>
      <c r="E826" s="4" t="s">
        <v>16</v>
      </c>
      <c r="F826" s="4" t="s">
        <v>17</v>
      </c>
      <c r="G826" s="7">
        <v>189184785478.117</v>
      </c>
    </row>
    <row ht="12.8" outlineLevel="0" r="827" s="4" customFormat="1">
      <c r="A827" s="17">
        <v>43647</v>
      </c>
      <c r="B827" s="4" t="s">
        <v>13</v>
      </c>
      <c r="C827" s="4" t="s">
        <v>8</v>
      </c>
      <c r="D827" s="4" t="s">
        <v>9</v>
      </c>
      <c r="E827" s="4" t="s">
        <v>14</v>
      </c>
      <c r="F827" s="4" t="s">
        <v>15</v>
      </c>
      <c r="G827" s="7">
        <v>246869160444.769</v>
      </c>
    </row>
    <row ht="12.8" outlineLevel="0" r="828" s="4" customFormat="1">
      <c r="A828" s="17">
        <v>43647</v>
      </c>
      <c r="B828" s="4" t="s">
        <v>26</v>
      </c>
      <c r="C828" s="4" t="s">
        <v>27</v>
      </c>
      <c r="D828" s="4" t="s">
        <v>28</v>
      </c>
      <c r="E828" s="4" t="s">
        <v>18</v>
      </c>
      <c r="F828" s="4" t="s">
        <v>19</v>
      </c>
      <c r="G828" s="7">
        <v>173513220021.157</v>
      </c>
    </row>
    <row ht="12.8" outlineLevel="0" r="829" s="4" customFormat="1">
      <c r="A829" s="17">
        <v>43647</v>
      </c>
      <c r="B829" s="4" t="s">
        <v>26</v>
      </c>
      <c r="C829" s="4" t="s">
        <v>27</v>
      </c>
      <c r="D829" s="4" t="s">
        <v>28</v>
      </c>
      <c r="E829" s="4" t="s">
        <v>10</v>
      </c>
      <c r="F829" s="4" t="s">
        <v>11</v>
      </c>
      <c r="G829" s="7">
        <v>349912901997</v>
      </c>
    </row>
    <row ht="12.8" outlineLevel="0" r="830" s="4" customFormat="1">
      <c r="A830" s="17">
        <v>43647</v>
      </c>
      <c r="B830" s="4" t="s">
        <v>29</v>
      </c>
      <c r="C830" s="4" t="s">
        <v>30</v>
      </c>
      <c r="D830" s="4" t="s">
        <v>31</v>
      </c>
      <c r="E830" s="4" t="s">
        <v>10</v>
      </c>
      <c r="F830" s="4" t="s">
        <v>11</v>
      </c>
      <c r="G830" s="7">
        <v>378701749444</v>
      </c>
    </row>
    <row ht="12.8" outlineLevel="0" r="831" s="4" customFormat="1">
      <c r="A831" s="17">
        <v>43647</v>
      </c>
      <c r="B831" s="4" t="s">
        <v>35</v>
      </c>
      <c r="C831" s="4" t="s">
        <v>36</v>
      </c>
      <c r="D831" s="4" t="s">
        <v>37</v>
      </c>
      <c r="E831" s="4" t="s">
        <v>18</v>
      </c>
      <c r="F831" s="4" t="s">
        <v>19</v>
      </c>
      <c r="G831" s="7">
        <v>30558411172.0568</v>
      </c>
    </row>
    <row ht="12.8" outlineLevel="0" r="832" s="4" customFormat="1">
      <c r="A832" s="17">
        <v>43647</v>
      </c>
      <c r="B832" s="4" t="s">
        <v>26</v>
      </c>
      <c r="C832" s="4" t="s">
        <v>27</v>
      </c>
      <c r="D832" s="4" t="s">
        <v>28</v>
      </c>
      <c r="E832" s="4" t="s">
        <v>14</v>
      </c>
      <c r="F832" s="4" t="s">
        <v>15</v>
      </c>
      <c r="G832" s="7">
        <v>276705198689.453</v>
      </c>
    </row>
    <row ht="12.8" outlineLevel="0" r="833" s="4" customFormat="1">
      <c r="A833" s="17">
        <v>43647</v>
      </c>
      <c r="B833" s="4" t="s">
        <v>29</v>
      </c>
      <c r="C833" s="4" t="s">
        <v>30</v>
      </c>
      <c r="D833" s="4" t="s">
        <v>31</v>
      </c>
      <c r="E833" s="4" t="s">
        <v>14</v>
      </c>
      <c r="F833" s="4" t="s">
        <v>15</v>
      </c>
      <c r="G833" s="7">
        <v>230768010524.18</v>
      </c>
    </row>
    <row ht="12.8" outlineLevel="0" r="834" s="4" customFormat="1">
      <c r="A834" s="17">
        <v>43617</v>
      </c>
      <c r="B834" s="4" t="s">
        <v>32</v>
      </c>
      <c r="C834" s="4" t="s">
        <v>33</v>
      </c>
      <c r="D834" s="4" t="s">
        <v>34</v>
      </c>
      <c r="E834" s="4" t="s">
        <v>10</v>
      </c>
      <c r="F834" s="4" t="s">
        <v>11</v>
      </c>
      <c r="G834" s="7">
        <v>37087650241</v>
      </c>
    </row>
    <row ht="12.8" outlineLevel="0" r="835" s="4" customFormat="1">
      <c r="A835" s="17">
        <v>43617</v>
      </c>
      <c r="B835" s="4" t="s">
        <v>13</v>
      </c>
      <c r="C835" s="4" t="s">
        <v>8</v>
      </c>
      <c r="D835" s="4" t="s">
        <v>9</v>
      </c>
      <c r="E835" s="4" t="s">
        <v>14</v>
      </c>
      <c r="F835" s="4" t="s">
        <v>15</v>
      </c>
      <c r="G835" s="7">
        <v>220730689265.66</v>
      </c>
    </row>
    <row ht="12.8" outlineLevel="0" r="836" s="4" customFormat="1">
      <c r="A836" s="17">
        <v>43617</v>
      </c>
      <c r="B836" s="4" t="s">
        <v>25</v>
      </c>
      <c r="C836" s="4" t="s">
        <v>23</v>
      </c>
      <c r="D836" s="4" t="s">
        <v>24</v>
      </c>
      <c r="E836" s="4" t="s">
        <v>18</v>
      </c>
      <c r="F836" s="4" t="s">
        <v>19</v>
      </c>
      <c r="G836" s="7">
        <v>332018705065.49</v>
      </c>
    </row>
    <row ht="12.8" outlineLevel="0" r="837" s="4" customFormat="1">
      <c r="A837" s="17">
        <v>43617</v>
      </c>
      <c r="B837" s="4" t="s">
        <v>38</v>
      </c>
      <c r="C837" s="4" t="s">
        <v>39</v>
      </c>
      <c r="D837" s="4" t="s">
        <v>40</v>
      </c>
      <c r="E837" s="4" t="s">
        <v>10</v>
      </c>
      <c r="F837" s="4" t="s">
        <v>11</v>
      </c>
      <c r="G837" s="7">
        <v>33403505954</v>
      </c>
    </row>
    <row ht="12.8" outlineLevel="0" r="838" s="4" customFormat="1">
      <c r="A838" s="17">
        <v>43617</v>
      </c>
      <c r="B838" s="4" t="s">
        <v>13</v>
      </c>
      <c r="C838" s="4" t="s">
        <v>8</v>
      </c>
      <c r="D838" s="4" t="s">
        <v>9</v>
      </c>
      <c r="E838" s="4" t="s">
        <v>10</v>
      </c>
      <c r="F838" s="4" t="s">
        <v>11</v>
      </c>
      <c r="G838" s="7">
        <v>316562622320.01</v>
      </c>
    </row>
    <row ht="12.8" outlineLevel="0" r="839" s="4" customFormat="1">
      <c r="A839" s="17">
        <v>43617</v>
      </c>
      <c r="B839" s="4" t="s">
        <v>12</v>
      </c>
      <c r="C839" s="4" t="s">
        <v>8</v>
      </c>
      <c r="D839" s="4" t="s">
        <v>9</v>
      </c>
      <c r="E839" s="4" t="s">
        <v>14</v>
      </c>
      <c r="F839" s="4" t="s">
        <v>15</v>
      </c>
      <c r="G839" s="7">
        <v>625806070519.34</v>
      </c>
    </row>
    <row ht="12.8" outlineLevel="0" r="840" s="4" customFormat="1">
      <c r="A840" s="17">
        <v>43617</v>
      </c>
      <c r="B840" s="4" t="s">
        <v>12</v>
      </c>
      <c r="C840" s="4" t="s">
        <v>8</v>
      </c>
      <c r="D840" s="4" t="s">
        <v>9</v>
      </c>
      <c r="E840" s="4" t="s">
        <v>16</v>
      </c>
      <c r="F840" s="4" t="s">
        <v>17</v>
      </c>
      <c r="G840" s="7">
        <v>292534784387.28</v>
      </c>
    </row>
    <row ht="12.8" outlineLevel="0" r="841" s="4" customFormat="1">
      <c r="A841" s="17">
        <v>43617</v>
      </c>
      <c r="B841" s="4" t="s">
        <v>13</v>
      </c>
      <c r="C841" s="4" t="s">
        <v>8</v>
      </c>
      <c r="D841" s="4" t="s">
        <v>9</v>
      </c>
      <c r="E841" s="4" t="s">
        <v>18</v>
      </c>
      <c r="F841" s="4" t="s">
        <v>19</v>
      </c>
      <c r="G841" s="7">
        <v>124098121142.992</v>
      </c>
    </row>
    <row ht="12.8" outlineLevel="0" r="842" s="4" customFormat="1">
      <c r="A842" s="17">
        <v>43617</v>
      </c>
      <c r="B842" s="4" t="s">
        <v>13</v>
      </c>
      <c r="C842" s="4" t="s">
        <v>8</v>
      </c>
      <c r="D842" s="4" t="s">
        <v>9</v>
      </c>
      <c r="E842" s="4" t="s">
        <v>16</v>
      </c>
      <c r="F842" s="4" t="s">
        <v>17</v>
      </c>
      <c r="G842" s="7">
        <v>129663227369.864</v>
      </c>
    </row>
    <row ht="12.8" outlineLevel="0" r="843" s="4" customFormat="1">
      <c r="A843" s="17">
        <v>43617</v>
      </c>
      <c r="B843" s="4" t="s">
        <v>32</v>
      </c>
      <c r="C843" s="4" t="s">
        <v>33</v>
      </c>
      <c r="D843" s="4" t="s">
        <v>34</v>
      </c>
      <c r="E843" s="4" t="s">
        <v>16</v>
      </c>
      <c r="F843" s="4" t="s">
        <v>17</v>
      </c>
      <c r="G843" s="7">
        <v>2830121116.4327</v>
      </c>
    </row>
    <row ht="12.8" outlineLevel="0" r="844" s="4" customFormat="1">
      <c r="A844" s="17">
        <v>43617</v>
      </c>
      <c r="B844" s="4" t="s">
        <v>35</v>
      </c>
      <c r="C844" s="4" t="s">
        <v>36</v>
      </c>
      <c r="D844" s="4" t="s">
        <v>37</v>
      </c>
      <c r="E844" s="4" t="s">
        <v>14</v>
      </c>
      <c r="F844" s="4" t="s">
        <v>15</v>
      </c>
      <c r="G844" s="7">
        <v>51844863809.5595</v>
      </c>
    </row>
    <row ht="12.8" outlineLevel="0" r="845" s="4" customFormat="1">
      <c r="A845" s="17">
        <v>43617</v>
      </c>
      <c r="B845" s="4" t="s">
        <v>22</v>
      </c>
      <c r="C845" s="4" t="s">
        <v>23</v>
      </c>
      <c r="D845" s="4" t="s">
        <v>24</v>
      </c>
      <c r="E845" s="4" t="s">
        <v>10</v>
      </c>
      <c r="F845" s="4" t="s">
        <v>11</v>
      </c>
      <c r="G845" s="7">
        <v>332538475601.84</v>
      </c>
    </row>
    <row ht="12.8" outlineLevel="0" r="846" s="4" customFormat="1">
      <c r="A846" s="17">
        <v>43617</v>
      </c>
      <c r="B846" s="4" t="s">
        <v>35</v>
      </c>
      <c r="C846" s="4" t="s">
        <v>36</v>
      </c>
      <c r="D846" s="4" t="s">
        <v>37</v>
      </c>
      <c r="E846" s="4" t="s">
        <v>10</v>
      </c>
      <c r="F846" s="4" t="s">
        <v>11</v>
      </c>
      <c r="G846" s="7">
        <v>93232327902</v>
      </c>
    </row>
    <row ht="12.8" outlineLevel="0" r="847" s="4" customFormat="1">
      <c r="A847" s="17">
        <v>43617</v>
      </c>
      <c r="B847" s="4" t="s">
        <v>35</v>
      </c>
      <c r="C847" s="4" t="s">
        <v>36</v>
      </c>
      <c r="D847" s="4" t="s">
        <v>37</v>
      </c>
      <c r="E847" s="4" t="s">
        <v>18</v>
      </c>
      <c r="F847" s="4" t="s">
        <v>19</v>
      </c>
      <c r="G847" s="7">
        <v>26849093443.9895</v>
      </c>
    </row>
    <row ht="12.8" outlineLevel="0" r="848" s="4" customFormat="1">
      <c r="A848" s="17">
        <v>43617</v>
      </c>
      <c r="B848" s="4" t="s">
        <v>32</v>
      </c>
      <c r="C848" s="4" t="s">
        <v>33</v>
      </c>
      <c r="D848" s="4" t="s">
        <v>34</v>
      </c>
      <c r="E848" s="4" t="s">
        <v>18</v>
      </c>
      <c r="F848" s="4" t="s">
        <v>19</v>
      </c>
      <c r="G848" s="7">
        <v>2587317402.7327</v>
      </c>
    </row>
    <row ht="12.8" outlineLevel="0" r="849" s="4" customFormat="1">
      <c r="A849" s="17">
        <v>43617</v>
      </c>
      <c r="B849" s="4" t="s">
        <v>32</v>
      </c>
      <c r="C849" s="4" t="s">
        <v>33</v>
      </c>
      <c r="D849" s="4" t="s">
        <v>34</v>
      </c>
      <c r="E849" s="4" t="s">
        <v>14</v>
      </c>
      <c r="F849" s="4" t="s">
        <v>15</v>
      </c>
      <c r="G849" s="7">
        <v>12367676586.786</v>
      </c>
    </row>
    <row ht="12.8" outlineLevel="0" r="850" s="4" customFormat="1">
      <c r="A850" s="17">
        <v>43617</v>
      </c>
      <c r="B850" s="4" t="s">
        <v>35</v>
      </c>
      <c r="C850" s="4" t="s">
        <v>36</v>
      </c>
      <c r="D850" s="4" t="s">
        <v>37</v>
      </c>
      <c r="E850" s="4" t="s">
        <v>16</v>
      </c>
      <c r="F850" s="4" t="s">
        <v>17</v>
      </c>
      <c r="G850" s="7">
        <v>27180849672.3495</v>
      </c>
    </row>
    <row ht="12.8" outlineLevel="0" r="851" s="4" customFormat="1">
      <c r="A851" s="17">
        <v>43617</v>
      </c>
      <c r="B851" s="4" t="s">
        <v>22</v>
      </c>
      <c r="C851" s="4" t="s">
        <v>23</v>
      </c>
      <c r="D851" s="4" t="s">
        <v>24</v>
      </c>
      <c r="E851" s="4" t="s">
        <v>14</v>
      </c>
      <c r="F851" s="4" t="s">
        <v>15</v>
      </c>
      <c r="G851" s="7">
        <v>168680710862.92</v>
      </c>
    </row>
    <row ht="12.8" outlineLevel="0" r="852" s="4" customFormat="1">
      <c r="A852" s="17">
        <v>43617</v>
      </c>
      <c r="B852" s="4" t="s">
        <v>22</v>
      </c>
      <c r="C852" s="4" t="s">
        <v>23</v>
      </c>
      <c r="D852" s="4" t="s">
        <v>24</v>
      </c>
      <c r="E852" s="4" t="s">
        <v>16</v>
      </c>
      <c r="F852" s="4" t="s">
        <v>17</v>
      </c>
      <c r="G852" s="7">
        <v>167730854332.03</v>
      </c>
    </row>
    <row ht="12.8" outlineLevel="0" r="853" s="4" customFormat="1">
      <c r="A853" s="17">
        <v>43617</v>
      </c>
      <c r="B853" s="4" t="s">
        <v>7</v>
      </c>
      <c r="C853" s="4" t="s">
        <v>8</v>
      </c>
      <c r="D853" s="4" t="s">
        <v>9</v>
      </c>
      <c r="E853" s="4" t="s">
        <v>16</v>
      </c>
      <c r="F853" s="4" t="s">
        <v>17</v>
      </c>
      <c r="G853" s="7">
        <v>172430911284.93</v>
      </c>
    </row>
    <row ht="12.8" outlineLevel="0" r="854" s="4" customFormat="1">
      <c r="A854" s="17">
        <v>43617</v>
      </c>
      <c r="B854" s="4" t="s">
        <v>29</v>
      </c>
      <c r="C854" s="4" t="s">
        <v>30</v>
      </c>
      <c r="D854" s="4" t="s">
        <v>31</v>
      </c>
      <c r="E854" s="4" t="s">
        <v>14</v>
      </c>
      <c r="F854" s="4" t="s">
        <v>15</v>
      </c>
      <c r="G854" s="7">
        <v>159601058801.72</v>
      </c>
    </row>
    <row ht="12.8" outlineLevel="0" r="855" s="4" customFormat="1">
      <c r="A855" s="17">
        <v>43617</v>
      </c>
      <c r="B855" s="4" t="s">
        <v>7</v>
      </c>
      <c r="C855" s="4" t="s">
        <v>8</v>
      </c>
      <c r="D855" s="4" t="s">
        <v>9</v>
      </c>
      <c r="E855" s="4" t="s">
        <v>10</v>
      </c>
      <c r="F855" s="4" t="s">
        <v>11</v>
      </c>
      <c r="G855" s="7">
        <v>369401168279.46</v>
      </c>
    </row>
    <row ht="12.8" outlineLevel="0" r="856" s="4" customFormat="1">
      <c r="A856" s="17">
        <v>43617</v>
      </c>
      <c r="B856" s="4" t="s">
        <v>7</v>
      </c>
      <c r="C856" s="4" t="s">
        <v>8</v>
      </c>
      <c r="D856" s="4" t="s">
        <v>9</v>
      </c>
      <c r="E856" s="4" t="s">
        <v>14</v>
      </c>
      <c r="F856" s="4" t="s">
        <v>15</v>
      </c>
      <c r="G856" s="7">
        <v>302727528746.42</v>
      </c>
    </row>
    <row ht="12.8" outlineLevel="0" r="857" s="4" customFormat="1">
      <c r="A857" s="17">
        <v>43617</v>
      </c>
      <c r="B857" s="4" t="s">
        <v>29</v>
      </c>
      <c r="C857" s="4" t="s">
        <v>30</v>
      </c>
      <c r="D857" s="4" t="s">
        <v>31</v>
      </c>
      <c r="E857" s="4" t="s">
        <v>16</v>
      </c>
      <c r="F857" s="4" t="s">
        <v>17</v>
      </c>
      <c r="G857" s="7">
        <v>152795210034.53</v>
      </c>
    </row>
    <row ht="12.8" outlineLevel="0" r="858" s="4" customFormat="1">
      <c r="A858" s="17">
        <v>43617</v>
      </c>
      <c r="B858" s="4" t="s">
        <v>26</v>
      </c>
      <c r="C858" s="4" t="s">
        <v>27</v>
      </c>
      <c r="D858" s="4" t="s">
        <v>28</v>
      </c>
      <c r="E858" s="4" t="s">
        <v>14</v>
      </c>
      <c r="F858" s="4" t="s">
        <v>15</v>
      </c>
      <c r="G858" s="7">
        <v>264710734030.283</v>
      </c>
    </row>
    <row ht="12.8" outlineLevel="0" r="859" s="4" customFormat="1">
      <c r="A859" s="17">
        <v>43617</v>
      </c>
      <c r="B859" s="4" t="s">
        <v>26</v>
      </c>
      <c r="C859" s="4" t="s">
        <v>27</v>
      </c>
      <c r="D859" s="4" t="s">
        <v>28</v>
      </c>
      <c r="E859" s="4" t="s">
        <v>10</v>
      </c>
      <c r="F859" s="4" t="s">
        <v>11</v>
      </c>
      <c r="G859" s="7">
        <v>350362901997</v>
      </c>
    </row>
    <row ht="12.8" outlineLevel="0" r="860" s="4" customFormat="1">
      <c r="A860" s="17">
        <v>43617</v>
      </c>
      <c r="B860" s="4" t="s">
        <v>29</v>
      </c>
      <c r="C860" s="4" t="s">
        <v>30</v>
      </c>
      <c r="D860" s="4" t="s">
        <v>31</v>
      </c>
      <c r="E860" s="4" t="s">
        <v>18</v>
      </c>
      <c r="F860" s="4" t="s">
        <v>19</v>
      </c>
      <c r="G860" s="7">
        <v>152795210034.53</v>
      </c>
    </row>
    <row ht="12.8" outlineLevel="0" r="861" s="4" customFormat="1">
      <c r="A861" s="17">
        <v>43617</v>
      </c>
      <c r="B861" s="4" t="s">
        <v>29</v>
      </c>
      <c r="C861" s="4" t="s">
        <v>30</v>
      </c>
      <c r="D861" s="4" t="s">
        <v>31</v>
      </c>
      <c r="E861" s="4" t="s">
        <v>10</v>
      </c>
      <c r="F861" s="4" t="s">
        <v>11</v>
      </c>
      <c r="G861" s="7">
        <v>378701749444</v>
      </c>
    </row>
    <row ht="12.8" outlineLevel="0" r="862" s="4" customFormat="1">
      <c r="A862" s="17">
        <v>43617</v>
      </c>
      <c r="B862" s="4" t="s">
        <v>25</v>
      </c>
      <c r="C862" s="4" t="s">
        <v>23</v>
      </c>
      <c r="D862" s="4" t="s">
        <v>24</v>
      </c>
      <c r="E862" s="4" t="s">
        <v>14</v>
      </c>
      <c r="F862" s="4" t="s">
        <v>15</v>
      </c>
      <c r="G862" s="7">
        <v>433171405283.1</v>
      </c>
    </row>
    <row ht="12.8" outlineLevel="0" r="863" s="4" customFormat="1">
      <c r="A863" s="17">
        <v>43617</v>
      </c>
      <c r="B863" s="4" t="s">
        <v>25</v>
      </c>
      <c r="C863" s="4" t="s">
        <v>23</v>
      </c>
      <c r="D863" s="4" t="s">
        <v>24</v>
      </c>
      <c r="E863" s="4" t="s">
        <v>16</v>
      </c>
      <c r="F863" s="4" t="s">
        <v>17</v>
      </c>
      <c r="G863" s="7">
        <v>332018705065.49</v>
      </c>
    </row>
    <row ht="12.8" outlineLevel="0" r="864" s="4" customFormat="1">
      <c r="A864" s="17">
        <v>43617</v>
      </c>
      <c r="B864" s="4" t="s">
        <v>12</v>
      </c>
      <c r="C864" s="4" t="s">
        <v>8</v>
      </c>
      <c r="D864" s="4" t="s">
        <v>9</v>
      </c>
      <c r="E864" s="4" t="s">
        <v>10</v>
      </c>
      <c r="F864" s="4" t="s">
        <v>11</v>
      </c>
      <c r="G864" s="7">
        <v>637551932740</v>
      </c>
    </row>
    <row ht="12.8" outlineLevel="0" r="865" s="4" customFormat="1">
      <c r="A865" s="17">
        <v>43617</v>
      </c>
      <c r="B865" s="4" t="s">
        <v>12</v>
      </c>
      <c r="C865" s="4" t="s">
        <v>8</v>
      </c>
      <c r="D865" s="4" t="s">
        <v>9</v>
      </c>
      <c r="E865" s="4" t="s">
        <v>18</v>
      </c>
      <c r="F865" s="4" t="s">
        <v>19</v>
      </c>
      <c r="G865" s="7">
        <v>256207125786.37</v>
      </c>
    </row>
    <row ht="12.8" outlineLevel="0" r="866" s="4" customFormat="1">
      <c r="A866" s="17">
        <v>43617</v>
      </c>
      <c r="B866" s="4" t="s">
        <v>22</v>
      </c>
      <c r="C866" s="4" t="s">
        <v>23</v>
      </c>
      <c r="D866" s="4" t="s">
        <v>24</v>
      </c>
      <c r="E866" s="4" t="s">
        <v>18</v>
      </c>
      <c r="F866" s="4" t="s">
        <v>19</v>
      </c>
      <c r="G866" s="7">
        <v>167730854332.03</v>
      </c>
    </row>
    <row ht="12.8" outlineLevel="0" r="867" s="4" customFormat="1">
      <c r="A867" s="17">
        <v>43617</v>
      </c>
      <c r="B867" s="4" t="s">
        <v>26</v>
      </c>
      <c r="C867" s="4" t="s">
        <v>27</v>
      </c>
      <c r="D867" s="4" t="s">
        <v>28</v>
      </c>
      <c r="E867" s="4" t="s">
        <v>18</v>
      </c>
      <c r="F867" s="4" t="s">
        <v>19</v>
      </c>
      <c r="G867" s="7">
        <v>141350134249.127</v>
      </c>
    </row>
    <row ht="12.8" outlineLevel="0" r="868" s="4" customFormat="1">
      <c r="A868" s="17">
        <v>43617</v>
      </c>
      <c r="B868" s="4" t="s">
        <v>26</v>
      </c>
      <c r="C868" s="4" t="s">
        <v>27</v>
      </c>
      <c r="D868" s="4" t="s">
        <v>28</v>
      </c>
      <c r="E868" s="4" t="s">
        <v>16</v>
      </c>
      <c r="F868" s="4" t="s">
        <v>17</v>
      </c>
      <c r="G868" s="7">
        <v>164188086005.355</v>
      </c>
    </row>
    <row ht="12.8" outlineLevel="0" r="869" s="4" customFormat="1">
      <c r="A869" s="17">
        <v>43617</v>
      </c>
      <c r="B869" s="4" t="s">
        <v>25</v>
      </c>
      <c r="C869" s="4" t="s">
        <v>23</v>
      </c>
      <c r="D869" s="4" t="s">
        <v>24</v>
      </c>
      <c r="E869" s="4" t="s">
        <v>10</v>
      </c>
      <c r="F869" s="4" t="s">
        <v>11</v>
      </c>
      <c r="G869" s="7">
        <v>713794886297.16</v>
      </c>
    </row>
    <row ht="12.8" outlineLevel="0" r="870" s="4" customFormat="1">
      <c r="A870" s="17">
        <v>43617</v>
      </c>
      <c r="B870" s="4" t="s">
        <v>7</v>
      </c>
      <c r="C870" s="4" t="s">
        <v>8</v>
      </c>
      <c r="D870" s="4" t="s">
        <v>9</v>
      </c>
      <c r="E870" s="4" t="s">
        <v>18</v>
      </c>
      <c r="F870" s="4" t="s">
        <v>19</v>
      </c>
      <c r="G870" s="7">
        <v>172325470739.1</v>
      </c>
    </row>
    <row ht="12.8" outlineLevel="0" r="871" s="4" customFormat="1">
      <c r="A871" s="17">
        <v>43586</v>
      </c>
      <c r="B871" s="4" t="s">
        <v>7</v>
      </c>
      <c r="C871" s="4" t="s">
        <v>8</v>
      </c>
      <c r="D871" s="4" t="s">
        <v>9</v>
      </c>
      <c r="E871" s="4" t="s">
        <v>10</v>
      </c>
      <c r="F871" s="4" t="s">
        <v>11</v>
      </c>
      <c r="G871" s="7">
        <v>369420556407.23</v>
      </c>
    </row>
    <row ht="12.8" outlineLevel="0" r="872" s="4" customFormat="1">
      <c r="A872" s="17">
        <v>43586</v>
      </c>
      <c r="B872" s="4" t="s">
        <v>22</v>
      </c>
      <c r="C872" s="4" t="s">
        <v>23</v>
      </c>
      <c r="D872" s="4" t="s">
        <v>24</v>
      </c>
      <c r="E872" s="4" t="s">
        <v>16</v>
      </c>
      <c r="F872" s="4" t="s">
        <v>17</v>
      </c>
      <c r="G872" s="7">
        <v>167704319092.2</v>
      </c>
    </row>
    <row ht="12.8" outlineLevel="0" r="873" s="4" customFormat="1">
      <c r="A873" s="17">
        <v>43586</v>
      </c>
      <c r="B873" s="4" t="s">
        <v>12</v>
      </c>
      <c r="C873" s="4" t="s">
        <v>8</v>
      </c>
      <c r="D873" s="4" t="s">
        <v>9</v>
      </c>
      <c r="E873" s="4" t="s">
        <v>18</v>
      </c>
      <c r="F873" s="4" t="s">
        <v>19</v>
      </c>
      <c r="G873" s="7">
        <v>208476920179.82</v>
      </c>
    </row>
    <row ht="12.8" outlineLevel="0" r="874" s="4" customFormat="1">
      <c r="A874" s="17">
        <v>43586</v>
      </c>
      <c r="B874" s="4" t="s">
        <v>7</v>
      </c>
      <c r="C874" s="4" t="s">
        <v>8</v>
      </c>
      <c r="D874" s="4" t="s">
        <v>9</v>
      </c>
      <c r="E874" s="4" t="s">
        <v>14</v>
      </c>
      <c r="F874" s="4" t="s">
        <v>15</v>
      </c>
      <c r="G874" s="7">
        <v>297893723324.19</v>
      </c>
    </row>
    <row ht="12.8" outlineLevel="0" r="875" s="4" customFormat="1">
      <c r="A875" s="17">
        <v>43586</v>
      </c>
      <c r="B875" s="4" t="s">
        <v>22</v>
      </c>
      <c r="C875" s="4" t="s">
        <v>23</v>
      </c>
      <c r="D875" s="4" t="s">
        <v>24</v>
      </c>
      <c r="E875" s="4" t="s">
        <v>14</v>
      </c>
      <c r="F875" s="4" t="s">
        <v>15</v>
      </c>
      <c r="G875" s="7">
        <v>168680710862.92</v>
      </c>
    </row>
    <row ht="12.8" outlineLevel="0" r="876" s="4" customFormat="1">
      <c r="A876" s="17">
        <v>43586</v>
      </c>
      <c r="B876" s="4" t="s">
        <v>35</v>
      </c>
      <c r="C876" s="4" t="s">
        <v>36</v>
      </c>
      <c r="D876" s="4" t="s">
        <v>37</v>
      </c>
      <c r="E876" s="4" t="s">
        <v>18</v>
      </c>
      <c r="F876" s="4" t="s">
        <v>19</v>
      </c>
      <c r="G876" s="7">
        <v>21580737126.41</v>
      </c>
    </row>
    <row ht="12.8" outlineLevel="0" r="877" s="4" customFormat="1">
      <c r="A877" s="17">
        <v>43586</v>
      </c>
      <c r="B877" s="4" t="s">
        <v>22</v>
      </c>
      <c r="C877" s="4" t="s">
        <v>23</v>
      </c>
      <c r="D877" s="4" t="s">
        <v>24</v>
      </c>
      <c r="E877" s="4" t="s">
        <v>18</v>
      </c>
      <c r="F877" s="4" t="s">
        <v>19</v>
      </c>
      <c r="G877" s="7">
        <v>167704319092.2</v>
      </c>
    </row>
    <row ht="12.8" outlineLevel="0" r="878" s="4" customFormat="1">
      <c r="A878" s="17">
        <v>43586</v>
      </c>
      <c r="B878" s="4" t="s">
        <v>25</v>
      </c>
      <c r="C878" s="4" t="s">
        <v>23</v>
      </c>
      <c r="D878" s="4" t="s">
        <v>24</v>
      </c>
      <c r="E878" s="4" t="s">
        <v>18</v>
      </c>
      <c r="F878" s="4" t="s">
        <v>19</v>
      </c>
      <c r="G878" s="7">
        <v>328701339376.55</v>
      </c>
    </row>
    <row ht="12.8" outlineLevel="0" r="879" s="4" customFormat="1">
      <c r="A879" s="17">
        <v>43586</v>
      </c>
      <c r="B879" s="4" t="s">
        <v>38</v>
      </c>
      <c r="C879" s="4" t="s">
        <v>39</v>
      </c>
      <c r="D879" s="4" t="s">
        <v>40</v>
      </c>
      <c r="E879" s="4" t="s">
        <v>10</v>
      </c>
      <c r="F879" s="4" t="s">
        <v>11</v>
      </c>
      <c r="G879" s="7">
        <v>33403505954</v>
      </c>
    </row>
    <row ht="12.8" outlineLevel="0" r="880" s="4" customFormat="1">
      <c r="A880" s="17">
        <v>43586</v>
      </c>
      <c r="B880" s="4" t="s">
        <v>13</v>
      </c>
      <c r="C880" s="4" t="s">
        <v>8</v>
      </c>
      <c r="D880" s="4" t="s">
        <v>9</v>
      </c>
      <c r="E880" s="4" t="s">
        <v>16</v>
      </c>
      <c r="F880" s="4" t="s">
        <v>17</v>
      </c>
      <c r="G880" s="7">
        <v>109634275703.912</v>
      </c>
    </row>
    <row ht="12.8" outlineLevel="0" r="881" s="4" customFormat="1">
      <c r="A881" s="17">
        <v>43586</v>
      </c>
      <c r="B881" s="4" t="s">
        <v>13</v>
      </c>
      <c r="C881" s="4" t="s">
        <v>8</v>
      </c>
      <c r="D881" s="4" t="s">
        <v>9</v>
      </c>
      <c r="E881" s="4" t="s">
        <v>18</v>
      </c>
      <c r="F881" s="4" t="s">
        <v>19</v>
      </c>
      <c r="G881" s="7">
        <v>104138203498.56</v>
      </c>
    </row>
    <row ht="12.8" outlineLevel="0" r="882" s="4" customFormat="1">
      <c r="A882" s="17">
        <v>43586</v>
      </c>
      <c r="B882" s="4" t="s">
        <v>13</v>
      </c>
      <c r="C882" s="4" t="s">
        <v>8</v>
      </c>
      <c r="D882" s="4" t="s">
        <v>9</v>
      </c>
      <c r="E882" s="4" t="s">
        <v>14</v>
      </c>
      <c r="F882" s="4" t="s">
        <v>15</v>
      </c>
      <c r="G882" s="7">
        <v>186978022470.915</v>
      </c>
    </row>
    <row ht="12.8" outlineLevel="0" r="883" s="4" customFormat="1">
      <c r="A883" s="17">
        <v>43586</v>
      </c>
      <c r="B883" s="4" t="s">
        <v>7</v>
      </c>
      <c r="C883" s="4" t="s">
        <v>8</v>
      </c>
      <c r="D883" s="4" t="s">
        <v>9</v>
      </c>
      <c r="E883" s="4" t="s">
        <v>16</v>
      </c>
      <c r="F883" s="4" t="s">
        <v>17</v>
      </c>
      <c r="G883" s="7">
        <v>145629951198.6</v>
      </c>
    </row>
    <row ht="12.8" outlineLevel="0" r="884" s="4" customFormat="1">
      <c r="A884" s="17">
        <v>43586</v>
      </c>
      <c r="B884" s="4" t="s">
        <v>7</v>
      </c>
      <c r="C884" s="4" t="s">
        <v>8</v>
      </c>
      <c r="D884" s="4" t="s">
        <v>9</v>
      </c>
      <c r="E884" s="4" t="s">
        <v>18</v>
      </c>
      <c r="F884" s="4" t="s">
        <v>19</v>
      </c>
      <c r="G884" s="7">
        <v>145624666402.88</v>
      </c>
    </row>
    <row ht="12.8" outlineLevel="0" r="885" s="4" customFormat="1">
      <c r="A885" s="17">
        <v>43586</v>
      </c>
      <c r="B885" s="4" t="s">
        <v>12</v>
      </c>
      <c r="C885" s="4" t="s">
        <v>8</v>
      </c>
      <c r="D885" s="4" t="s">
        <v>9</v>
      </c>
      <c r="E885" s="4" t="s">
        <v>14</v>
      </c>
      <c r="F885" s="4" t="s">
        <v>15</v>
      </c>
      <c r="G885" s="7">
        <v>365882964000.09</v>
      </c>
    </row>
    <row ht="12.8" outlineLevel="0" r="886" s="4" customFormat="1">
      <c r="A886" s="17">
        <v>43586</v>
      </c>
      <c r="B886" s="4" t="s">
        <v>12</v>
      </c>
      <c r="C886" s="4" t="s">
        <v>8</v>
      </c>
      <c r="D886" s="4" t="s">
        <v>9</v>
      </c>
      <c r="E886" s="4" t="s">
        <v>16</v>
      </c>
      <c r="F886" s="4" t="s">
        <v>17</v>
      </c>
      <c r="G886" s="7">
        <v>244603309116.2</v>
      </c>
    </row>
    <row ht="12.8" outlineLevel="0" r="887" s="4" customFormat="1">
      <c r="A887" s="17">
        <v>43586</v>
      </c>
      <c r="B887" s="4" t="s">
        <v>13</v>
      </c>
      <c r="C887" s="4" t="s">
        <v>8</v>
      </c>
      <c r="D887" s="4" t="s">
        <v>9</v>
      </c>
      <c r="E887" s="4" t="s">
        <v>10</v>
      </c>
      <c r="F887" s="4" t="s">
        <v>11</v>
      </c>
      <c r="G887" s="7">
        <v>518233482950.12</v>
      </c>
    </row>
    <row ht="12.8" outlineLevel="0" r="888" s="4" customFormat="1">
      <c r="A888" s="17">
        <v>43586</v>
      </c>
      <c r="B888" s="4" t="s">
        <v>12</v>
      </c>
      <c r="C888" s="4" t="s">
        <v>8</v>
      </c>
      <c r="D888" s="4" t="s">
        <v>9</v>
      </c>
      <c r="E888" s="4" t="s">
        <v>10</v>
      </c>
      <c r="F888" s="4" t="s">
        <v>11</v>
      </c>
      <c r="G888" s="7">
        <v>435846669561</v>
      </c>
    </row>
    <row ht="12.8" outlineLevel="0" r="889" s="4" customFormat="1">
      <c r="A889" s="17">
        <v>43586</v>
      </c>
      <c r="B889" s="4" t="s">
        <v>29</v>
      </c>
      <c r="C889" s="4" t="s">
        <v>30</v>
      </c>
      <c r="D889" s="4" t="s">
        <v>31</v>
      </c>
      <c r="E889" s="4" t="s">
        <v>16</v>
      </c>
      <c r="F889" s="4" t="s">
        <v>17</v>
      </c>
      <c r="G889" s="7">
        <v>151165197546.18</v>
      </c>
    </row>
    <row ht="12.8" outlineLevel="0" r="890" s="4" customFormat="1">
      <c r="A890" s="17">
        <v>43586</v>
      </c>
      <c r="B890" s="4" t="s">
        <v>26</v>
      </c>
      <c r="C890" s="4" t="s">
        <v>27</v>
      </c>
      <c r="D890" s="4" t="s">
        <v>28</v>
      </c>
      <c r="E890" s="4" t="s">
        <v>14</v>
      </c>
      <c r="F890" s="4" t="s">
        <v>15</v>
      </c>
      <c r="G890" s="7">
        <v>248379793498.898</v>
      </c>
    </row>
    <row ht="12.8" outlineLevel="0" r="891" s="4" customFormat="1">
      <c r="A891" s="17">
        <v>43586</v>
      </c>
      <c r="B891" s="4" t="s">
        <v>35</v>
      </c>
      <c r="C891" s="4" t="s">
        <v>36</v>
      </c>
      <c r="D891" s="4" t="s">
        <v>37</v>
      </c>
      <c r="E891" s="4" t="s">
        <v>10</v>
      </c>
      <c r="F891" s="4" t="s">
        <v>11</v>
      </c>
      <c r="G891" s="7">
        <v>93232327902</v>
      </c>
    </row>
    <row ht="12.8" outlineLevel="0" r="892" s="4" customFormat="1">
      <c r="A892" s="17">
        <v>43586</v>
      </c>
      <c r="B892" s="4" t="s">
        <v>22</v>
      </c>
      <c r="C892" s="4" t="s">
        <v>23</v>
      </c>
      <c r="D892" s="4" t="s">
        <v>24</v>
      </c>
      <c r="E892" s="4" t="s">
        <v>10</v>
      </c>
      <c r="F892" s="4" t="s">
        <v>11</v>
      </c>
      <c r="G892" s="7">
        <v>302947404271</v>
      </c>
    </row>
    <row ht="12.8" outlineLevel="0" r="893" s="4" customFormat="1">
      <c r="A893" s="17">
        <v>43586</v>
      </c>
      <c r="B893" s="4" t="s">
        <v>26</v>
      </c>
      <c r="C893" s="4" t="s">
        <v>27</v>
      </c>
      <c r="D893" s="4" t="s">
        <v>28</v>
      </c>
      <c r="E893" s="4" t="s">
        <v>10</v>
      </c>
      <c r="F893" s="4" t="s">
        <v>11</v>
      </c>
      <c r="G893" s="7">
        <v>350560321537</v>
      </c>
    </row>
    <row ht="12.8" outlineLevel="0" r="894" s="4" customFormat="1">
      <c r="A894" s="17">
        <v>43586</v>
      </c>
      <c r="B894" s="4" t="s">
        <v>25</v>
      </c>
      <c r="C894" s="4" t="s">
        <v>23</v>
      </c>
      <c r="D894" s="4" t="s">
        <v>24</v>
      </c>
      <c r="E894" s="4" t="s">
        <v>14</v>
      </c>
      <c r="F894" s="4" t="s">
        <v>15</v>
      </c>
      <c r="G894" s="7">
        <v>431735679369.22</v>
      </c>
    </row>
    <row ht="12.8" outlineLevel="0" r="895" s="4" customFormat="1">
      <c r="A895" s="17">
        <v>43586</v>
      </c>
      <c r="B895" s="4" t="s">
        <v>32</v>
      </c>
      <c r="C895" s="4" t="s">
        <v>33</v>
      </c>
      <c r="D895" s="4" t="s">
        <v>34</v>
      </c>
      <c r="E895" s="4" t="s">
        <v>18</v>
      </c>
      <c r="F895" s="4" t="s">
        <v>19</v>
      </c>
      <c r="G895" s="7">
        <v>1838306218.1112</v>
      </c>
    </row>
    <row ht="12.8" outlineLevel="0" r="896" s="4" customFormat="1">
      <c r="A896" s="17">
        <v>43586</v>
      </c>
      <c r="B896" s="4" t="s">
        <v>26</v>
      </c>
      <c r="C896" s="4" t="s">
        <v>27</v>
      </c>
      <c r="D896" s="4" t="s">
        <v>28</v>
      </c>
      <c r="E896" s="4" t="s">
        <v>18</v>
      </c>
      <c r="F896" s="4" t="s">
        <v>19</v>
      </c>
      <c r="G896" s="7">
        <v>115888853356.917</v>
      </c>
    </row>
    <row ht="12.8" outlineLevel="0" r="897" s="4" customFormat="1">
      <c r="A897" s="17">
        <v>43586</v>
      </c>
      <c r="B897" s="4" t="s">
        <v>35</v>
      </c>
      <c r="C897" s="4" t="s">
        <v>36</v>
      </c>
      <c r="D897" s="4" t="s">
        <v>37</v>
      </c>
      <c r="E897" s="4" t="s">
        <v>14</v>
      </c>
      <c r="F897" s="4" t="s">
        <v>15</v>
      </c>
      <c r="G897" s="7">
        <v>48617360804.04</v>
      </c>
    </row>
    <row ht="12.8" outlineLevel="0" r="898" s="4" customFormat="1">
      <c r="A898" s="17">
        <v>43586</v>
      </c>
      <c r="B898" s="4" t="s">
        <v>32</v>
      </c>
      <c r="C898" s="4" t="s">
        <v>33</v>
      </c>
      <c r="D898" s="4" t="s">
        <v>34</v>
      </c>
      <c r="E898" s="4" t="s">
        <v>16</v>
      </c>
      <c r="F898" s="4" t="s">
        <v>17</v>
      </c>
      <c r="G898" s="7">
        <v>1960734362.8437</v>
      </c>
    </row>
    <row ht="12.8" outlineLevel="0" r="899" s="4" customFormat="1">
      <c r="A899" s="17">
        <v>43586</v>
      </c>
      <c r="B899" s="4" t="s">
        <v>25</v>
      </c>
      <c r="C899" s="4" t="s">
        <v>23</v>
      </c>
      <c r="D899" s="4" t="s">
        <v>24</v>
      </c>
      <c r="E899" s="4" t="s">
        <v>16</v>
      </c>
      <c r="F899" s="4" t="s">
        <v>17</v>
      </c>
      <c r="G899" s="7">
        <v>328701339376.55</v>
      </c>
    </row>
    <row ht="12.8" outlineLevel="0" r="900" s="4" customFormat="1">
      <c r="A900" s="17">
        <v>43586</v>
      </c>
      <c r="B900" s="4" t="s">
        <v>25</v>
      </c>
      <c r="C900" s="4" t="s">
        <v>23</v>
      </c>
      <c r="D900" s="4" t="s">
        <v>24</v>
      </c>
      <c r="E900" s="4" t="s">
        <v>10</v>
      </c>
      <c r="F900" s="4" t="s">
        <v>11</v>
      </c>
      <c r="G900" s="7">
        <v>743091699885</v>
      </c>
    </row>
    <row ht="12.8" outlineLevel="0" r="901" s="4" customFormat="1">
      <c r="A901" s="17">
        <v>43586</v>
      </c>
      <c r="B901" s="4" t="s">
        <v>29</v>
      </c>
      <c r="C901" s="4" t="s">
        <v>30</v>
      </c>
      <c r="D901" s="4" t="s">
        <v>31</v>
      </c>
      <c r="E901" s="4" t="s">
        <v>14</v>
      </c>
      <c r="F901" s="4" t="s">
        <v>15</v>
      </c>
      <c r="G901" s="7">
        <v>158761511845.02</v>
      </c>
    </row>
    <row ht="12.8" outlineLevel="0" r="902" s="4" customFormat="1">
      <c r="A902" s="17">
        <v>43586</v>
      </c>
      <c r="B902" s="4" t="s">
        <v>29</v>
      </c>
      <c r="C902" s="4" t="s">
        <v>30</v>
      </c>
      <c r="D902" s="4" t="s">
        <v>31</v>
      </c>
      <c r="E902" s="4" t="s">
        <v>10</v>
      </c>
      <c r="F902" s="4" t="s">
        <v>11</v>
      </c>
      <c r="G902" s="7">
        <v>378996007187</v>
      </c>
    </row>
    <row ht="12.8" outlineLevel="0" r="903" s="4" customFormat="1">
      <c r="A903" s="17">
        <v>43586</v>
      </c>
      <c r="B903" s="4" t="s">
        <v>29</v>
      </c>
      <c r="C903" s="4" t="s">
        <v>30</v>
      </c>
      <c r="D903" s="4" t="s">
        <v>31</v>
      </c>
      <c r="E903" s="4" t="s">
        <v>18</v>
      </c>
      <c r="F903" s="4" t="s">
        <v>19</v>
      </c>
      <c r="G903" s="7">
        <v>151165197546.18</v>
      </c>
    </row>
    <row ht="12.8" outlineLevel="0" r="904" s="4" customFormat="1">
      <c r="A904" s="17">
        <v>43586</v>
      </c>
      <c r="B904" s="4" t="s">
        <v>32</v>
      </c>
      <c r="C904" s="4" t="s">
        <v>33</v>
      </c>
      <c r="D904" s="4" t="s">
        <v>34</v>
      </c>
      <c r="E904" s="4" t="s">
        <v>10</v>
      </c>
      <c r="F904" s="4" t="s">
        <v>11</v>
      </c>
      <c r="G904" s="7">
        <v>36905245123</v>
      </c>
    </row>
    <row ht="12.8" outlineLevel="0" r="905" s="4" customFormat="1">
      <c r="A905" s="17">
        <v>43586</v>
      </c>
      <c r="B905" s="4" t="s">
        <v>32</v>
      </c>
      <c r="C905" s="4" t="s">
        <v>33</v>
      </c>
      <c r="D905" s="4" t="s">
        <v>34</v>
      </c>
      <c r="E905" s="4" t="s">
        <v>14</v>
      </c>
      <c r="F905" s="4" t="s">
        <v>15</v>
      </c>
      <c r="G905" s="7">
        <v>10526859424.2737</v>
      </c>
    </row>
    <row ht="12.8" outlineLevel="0" r="906" s="4" customFormat="1">
      <c r="A906" s="17">
        <v>43586</v>
      </c>
      <c r="B906" s="4" t="s">
        <v>35</v>
      </c>
      <c r="C906" s="4" t="s">
        <v>36</v>
      </c>
      <c r="D906" s="4" t="s">
        <v>37</v>
      </c>
      <c r="E906" s="4" t="s">
        <v>16</v>
      </c>
      <c r="F906" s="4" t="s">
        <v>17</v>
      </c>
      <c r="G906" s="7">
        <v>22277761503.94</v>
      </c>
    </row>
    <row ht="12.8" outlineLevel="0" r="907" s="4" customFormat="1">
      <c r="A907" s="17">
        <v>43586</v>
      </c>
      <c r="B907" s="4" t="s">
        <v>26</v>
      </c>
      <c r="C907" s="4" t="s">
        <v>27</v>
      </c>
      <c r="D907" s="4" t="s">
        <v>28</v>
      </c>
      <c r="E907" s="4" t="s">
        <v>16</v>
      </c>
      <c r="F907" s="4" t="s">
        <v>17</v>
      </c>
      <c r="G907" s="7">
        <v>131701988812.037</v>
      </c>
    </row>
    <row ht="12.8" outlineLevel="0" r="908" s="4" customFormat="1">
      <c r="A908" s="17">
        <v>43556</v>
      </c>
      <c r="B908" s="4" t="s">
        <v>12</v>
      </c>
      <c r="C908" s="4" t="s">
        <v>8</v>
      </c>
      <c r="D908" s="4" t="s">
        <v>9</v>
      </c>
      <c r="E908" s="4" t="s">
        <v>18</v>
      </c>
      <c r="F908" s="4" t="s">
        <v>19</v>
      </c>
      <c r="G908" s="7">
        <v>160874186613.27</v>
      </c>
    </row>
    <row ht="12.8" outlineLevel="0" r="909" s="4" customFormat="1">
      <c r="A909" s="17">
        <v>43556</v>
      </c>
      <c r="B909" s="4" t="s">
        <v>12</v>
      </c>
      <c r="C909" s="4" t="s">
        <v>8</v>
      </c>
      <c r="D909" s="4" t="s">
        <v>9</v>
      </c>
      <c r="E909" s="4" t="s">
        <v>16</v>
      </c>
      <c r="F909" s="4" t="s">
        <v>17</v>
      </c>
      <c r="G909" s="7">
        <v>196885907825.48</v>
      </c>
    </row>
    <row ht="12.8" outlineLevel="0" r="910" s="4" customFormat="1">
      <c r="A910" s="17">
        <v>43556</v>
      </c>
      <c r="B910" s="4" t="s">
        <v>35</v>
      </c>
      <c r="C910" s="4" t="s">
        <v>36</v>
      </c>
      <c r="D910" s="4" t="s">
        <v>37</v>
      </c>
      <c r="E910" s="4" t="s">
        <v>14</v>
      </c>
      <c r="F910" s="4" t="s">
        <v>15</v>
      </c>
      <c r="G910" s="7">
        <v>47452823230.76</v>
      </c>
    </row>
    <row ht="12.8" outlineLevel="0" r="911" s="4" customFormat="1">
      <c r="A911" s="17">
        <v>43556</v>
      </c>
      <c r="B911" s="4" t="s">
        <v>35</v>
      </c>
      <c r="C911" s="4" t="s">
        <v>36</v>
      </c>
      <c r="D911" s="4" t="s">
        <v>37</v>
      </c>
      <c r="E911" s="4" t="s">
        <v>10</v>
      </c>
      <c r="F911" s="4" t="s">
        <v>11</v>
      </c>
      <c r="G911" s="7">
        <v>93029137033</v>
      </c>
    </row>
    <row ht="12.8" outlineLevel="0" r="912" s="4" customFormat="1">
      <c r="A912" s="17">
        <v>43556</v>
      </c>
      <c r="B912" s="4" t="s">
        <v>12</v>
      </c>
      <c r="C912" s="4" t="s">
        <v>8</v>
      </c>
      <c r="D912" s="4" t="s">
        <v>9</v>
      </c>
      <c r="E912" s="4" t="s">
        <v>14</v>
      </c>
      <c r="F912" s="4" t="s">
        <v>15</v>
      </c>
      <c r="G912" s="7">
        <v>359886927866.58</v>
      </c>
    </row>
    <row ht="12.8" outlineLevel="0" r="913" s="4" customFormat="1">
      <c r="A913" s="17">
        <v>43556</v>
      </c>
      <c r="B913" s="4" t="s">
        <v>29</v>
      </c>
      <c r="C913" s="4" t="s">
        <v>30</v>
      </c>
      <c r="D913" s="4" t="s">
        <v>31</v>
      </c>
      <c r="E913" s="4" t="s">
        <v>14</v>
      </c>
      <c r="F913" s="4" t="s">
        <v>15</v>
      </c>
      <c r="G913" s="7">
        <v>135077040451.91</v>
      </c>
    </row>
    <row ht="12.8" outlineLevel="0" r="914" s="4" customFormat="1">
      <c r="A914" s="17">
        <v>43556</v>
      </c>
      <c r="B914" s="4" t="s">
        <v>29</v>
      </c>
      <c r="C914" s="4" t="s">
        <v>30</v>
      </c>
      <c r="D914" s="4" t="s">
        <v>31</v>
      </c>
      <c r="E914" s="4" t="s">
        <v>10</v>
      </c>
      <c r="F914" s="4" t="s">
        <v>11</v>
      </c>
      <c r="G914" s="7">
        <v>378996007187</v>
      </c>
    </row>
    <row ht="12.8" outlineLevel="0" r="915" s="4" customFormat="1">
      <c r="A915" s="17">
        <v>43556</v>
      </c>
      <c r="B915" s="4" t="s">
        <v>25</v>
      </c>
      <c r="C915" s="4" t="s">
        <v>23</v>
      </c>
      <c r="D915" s="4" t="s">
        <v>24</v>
      </c>
      <c r="E915" s="4" t="s">
        <v>10</v>
      </c>
      <c r="F915" s="4" t="s">
        <v>11</v>
      </c>
      <c r="G915" s="7">
        <v>740365732501</v>
      </c>
    </row>
    <row ht="12.8" outlineLevel="0" r="916" s="4" customFormat="1">
      <c r="A916" s="17">
        <v>43556</v>
      </c>
      <c r="B916" s="4" t="s">
        <v>29</v>
      </c>
      <c r="C916" s="4" t="s">
        <v>30</v>
      </c>
      <c r="D916" s="4" t="s">
        <v>31</v>
      </c>
      <c r="E916" s="4" t="s">
        <v>16</v>
      </c>
      <c r="F916" s="4" t="s">
        <v>17</v>
      </c>
      <c r="G916" s="7">
        <v>130651520201.33</v>
      </c>
    </row>
    <row ht="12.8" outlineLevel="0" r="917" s="4" customFormat="1">
      <c r="A917" s="17">
        <v>43556</v>
      </c>
      <c r="B917" s="4" t="s">
        <v>32</v>
      </c>
      <c r="C917" s="4" t="s">
        <v>33</v>
      </c>
      <c r="D917" s="4" t="s">
        <v>34</v>
      </c>
      <c r="E917" s="4" t="s">
        <v>14</v>
      </c>
      <c r="F917" s="4" t="s">
        <v>15</v>
      </c>
      <c r="G917" s="7">
        <v>7161256479.1124</v>
      </c>
    </row>
    <row ht="12.8" outlineLevel="0" r="918" s="4" customFormat="1">
      <c r="A918" s="17">
        <v>43556</v>
      </c>
      <c r="B918" s="4" t="s">
        <v>32</v>
      </c>
      <c r="C918" s="4" t="s">
        <v>33</v>
      </c>
      <c r="D918" s="4" t="s">
        <v>34</v>
      </c>
      <c r="E918" s="4" t="s">
        <v>16</v>
      </c>
      <c r="F918" s="4" t="s">
        <v>17</v>
      </c>
      <c r="G918" s="7">
        <v>1267269915.0705</v>
      </c>
    </row>
    <row ht="12.8" outlineLevel="0" r="919" s="4" customFormat="1">
      <c r="A919" s="17">
        <v>43556</v>
      </c>
      <c r="B919" s="4" t="s">
        <v>32</v>
      </c>
      <c r="C919" s="4" t="s">
        <v>33</v>
      </c>
      <c r="D919" s="4" t="s">
        <v>34</v>
      </c>
      <c r="E919" s="4" t="s">
        <v>10</v>
      </c>
      <c r="F919" s="4" t="s">
        <v>11</v>
      </c>
      <c r="G919" s="7">
        <v>36337312407</v>
      </c>
    </row>
    <row ht="12.8" outlineLevel="0" r="920" s="4" customFormat="1">
      <c r="A920" s="17">
        <v>43556</v>
      </c>
      <c r="B920" s="4" t="s">
        <v>32</v>
      </c>
      <c r="C920" s="4" t="s">
        <v>33</v>
      </c>
      <c r="D920" s="4" t="s">
        <v>34</v>
      </c>
      <c r="E920" s="4" t="s">
        <v>18</v>
      </c>
      <c r="F920" s="4" t="s">
        <v>19</v>
      </c>
      <c r="G920" s="7">
        <v>1121485503.7805</v>
      </c>
    </row>
    <row ht="12.8" outlineLevel="0" r="921" s="4" customFormat="1">
      <c r="A921" s="17">
        <v>43556</v>
      </c>
      <c r="B921" s="4" t="s">
        <v>7</v>
      </c>
      <c r="C921" s="4" t="s">
        <v>8</v>
      </c>
      <c r="D921" s="4" t="s">
        <v>9</v>
      </c>
      <c r="E921" s="4" t="s">
        <v>18</v>
      </c>
      <c r="F921" s="4" t="s">
        <v>19</v>
      </c>
      <c r="G921" s="7">
        <v>111170823042.84</v>
      </c>
    </row>
    <row ht="12.8" outlineLevel="0" r="922" s="4" customFormat="1">
      <c r="A922" s="17">
        <v>43556</v>
      </c>
      <c r="B922" s="4" t="s">
        <v>7</v>
      </c>
      <c r="C922" s="4" t="s">
        <v>8</v>
      </c>
      <c r="D922" s="4" t="s">
        <v>9</v>
      </c>
      <c r="E922" s="4" t="s">
        <v>14</v>
      </c>
      <c r="F922" s="4" t="s">
        <v>15</v>
      </c>
      <c r="G922" s="7">
        <v>287075090637.46</v>
      </c>
    </row>
    <row ht="12.8" outlineLevel="0" r="923" s="4" customFormat="1">
      <c r="A923" s="17">
        <v>43556</v>
      </c>
      <c r="B923" s="4" t="s">
        <v>35</v>
      </c>
      <c r="C923" s="4" t="s">
        <v>36</v>
      </c>
      <c r="D923" s="4" t="s">
        <v>37</v>
      </c>
      <c r="E923" s="4" t="s">
        <v>16</v>
      </c>
      <c r="F923" s="4" t="s">
        <v>17</v>
      </c>
      <c r="G923" s="7">
        <v>16545691655.19</v>
      </c>
    </row>
    <row ht="12.8" outlineLevel="0" r="924" s="4" customFormat="1">
      <c r="A924" s="17">
        <v>43556</v>
      </c>
      <c r="B924" s="4" t="s">
        <v>7</v>
      </c>
      <c r="C924" s="4" t="s">
        <v>8</v>
      </c>
      <c r="D924" s="4" t="s">
        <v>9</v>
      </c>
      <c r="E924" s="4" t="s">
        <v>16</v>
      </c>
      <c r="F924" s="4" t="s">
        <v>17</v>
      </c>
      <c r="G924" s="7">
        <v>111172531022.75</v>
      </c>
    </row>
    <row ht="12.8" outlineLevel="0" r="925" s="4" customFormat="1">
      <c r="A925" s="17">
        <v>43556</v>
      </c>
      <c r="B925" s="4" t="s">
        <v>7</v>
      </c>
      <c r="C925" s="4" t="s">
        <v>8</v>
      </c>
      <c r="D925" s="4" t="s">
        <v>9</v>
      </c>
      <c r="E925" s="4" t="s">
        <v>10</v>
      </c>
      <c r="F925" s="4" t="s">
        <v>11</v>
      </c>
      <c r="G925" s="7">
        <v>368659979812.09</v>
      </c>
    </row>
    <row ht="12.8" outlineLevel="0" r="926" s="4" customFormat="1">
      <c r="A926" s="17">
        <v>43556</v>
      </c>
      <c r="B926" s="4" t="s">
        <v>22</v>
      </c>
      <c r="C926" s="4" t="s">
        <v>23</v>
      </c>
      <c r="D926" s="4" t="s">
        <v>24</v>
      </c>
      <c r="E926" s="4" t="s">
        <v>18</v>
      </c>
      <c r="F926" s="4" t="s">
        <v>19</v>
      </c>
      <c r="G926" s="7">
        <v>48533608164.06</v>
      </c>
    </row>
    <row ht="12.8" outlineLevel="0" r="927" s="4" customFormat="1">
      <c r="A927" s="17">
        <v>43556</v>
      </c>
      <c r="B927" s="4" t="s">
        <v>26</v>
      </c>
      <c r="C927" s="4" t="s">
        <v>27</v>
      </c>
      <c r="D927" s="4" t="s">
        <v>28</v>
      </c>
      <c r="E927" s="4" t="s">
        <v>14</v>
      </c>
      <c r="F927" s="4" t="s">
        <v>15</v>
      </c>
      <c r="G927" s="7">
        <v>239387890959.451</v>
      </c>
    </row>
    <row ht="12.8" outlineLevel="0" r="928" s="4" customFormat="1">
      <c r="A928" s="17">
        <v>43556</v>
      </c>
      <c r="B928" s="4" t="s">
        <v>13</v>
      </c>
      <c r="C928" s="4" t="s">
        <v>8</v>
      </c>
      <c r="D928" s="4" t="s">
        <v>9</v>
      </c>
      <c r="E928" s="4" t="s">
        <v>18</v>
      </c>
      <c r="F928" s="4" t="s">
        <v>19</v>
      </c>
      <c r="G928" s="7">
        <v>83825807150.6119</v>
      </c>
    </row>
    <row ht="12.8" outlineLevel="0" r="929" s="4" customFormat="1">
      <c r="A929" s="17">
        <v>43556</v>
      </c>
      <c r="B929" s="4" t="s">
        <v>13</v>
      </c>
      <c r="C929" s="4" t="s">
        <v>8</v>
      </c>
      <c r="D929" s="4" t="s">
        <v>9</v>
      </c>
      <c r="E929" s="4" t="s">
        <v>10</v>
      </c>
      <c r="F929" s="4" t="s">
        <v>11</v>
      </c>
      <c r="G929" s="7">
        <v>519533538289.07</v>
      </c>
    </row>
    <row ht="12.8" outlineLevel="0" r="930" s="4" customFormat="1">
      <c r="A930" s="17">
        <v>43556</v>
      </c>
      <c r="B930" s="4" t="s">
        <v>38</v>
      </c>
      <c r="C930" s="4" t="s">
        <v>39</v>
      </c>
      <c r="D930" s="4" t="s">
        <v>40</v>
      </c>
      <c r="E930" s="4" t="s">
        <v>10</v>
      </c>
      <c r="F930" s="4" t="s">
        <v>11</v>
      </c>
      <c r="G930" s="7">
        <v>33403505954</v>
      </c>
    </row>
    <row ht="12.8" outlineLevel="0" r="931" s="4" customFormat="1">
      <c r="A931" s="17">
        <v>43556</v>
      </c>
      <c r="B931" s="4" t="s">
        <v>13</v>
      </c>
      <c r="C931" s="4" t="s">
        <v>8</v>
      </c>
      <c r="D931" s="4" t="s">
        <v>9</v>
      </c>
      <c r="E931" s="4" t="s">
        <v>16</v>
      </c>
      <c r="F931" s="4" t="s">
        <v>17</v>
      </c>
      <c r="G931" s="7">
        <v>89096471076.5027</v>
      </c>
    </row>
    <row ht="12.8" outlineLevel="0" r="932" s="4" customFormat="1">
      <c r="A932" s="17">
        <v>43556</v>
      </c>
      <c r="B932" s="4" t="s">
        <v>25</v>
      </c>
      <c r="C932" s="4" t="s">
        <v>23</v>
      </c>
      <c r="D932" s="4" t="s">
        <v>24</v>
      </c>
      <c r="E932" s="4" t="s">
        <v>14</v>
      </c>
      <c r="F932" s="4" t="s">
        <v>15</v>
      </c>
      <c r="G932" s="7">
        <v>431057315308.97</v>
      </c>
    </row>
    <row ht="12.8" outlineLevel="0" r="933" s="4" customFormat="1">
      <c r="A933" s="17">
        <v>43556</v>
      </c>
      <c r="B933" s="4" t="s">
        <v>25</v>
      </c>
      <c r="C933" s="4" t="s">
        <v>23</v>
      </c>
      <c r="D933" s="4" t="s">
        <v>24</v>
      </c>
      <c r="E933" s="4" t="s">
        <v>16</v>
      </c>
      <c r="F933" s="4" t="s">
        <v>17</v>
      </c>
      <c r="G933" s="7">
        <v>326943200243.92</v>
      </c>
    </row>
    <row ht="12.8" outlineLevel="0" r="934" s="4" customFormat="1">
      <c r="A934" s="17">
        <v>43556</v>
      </c>
      <c r="B934" s="4" t="s">
        <v>25</v>
      </c>
      <c r="C934" s="4" t="s">
        <v>23</v>
      </c>
      <c r="D934" s="4" t="s">
        <v>24</v>
      </c>
      <c r="E934" s="4" t="s">
        <v>18</v>
      </c>
      <c r="F934" s="4" t="s">
        <v>19</v>
      </c>
      <c r="G934" s="7">
        <v>326943200243.92</v>
      </c>
    </row>
    <row ht="12.8" outlineLevel="0" r="935" s="4" customFormat="1">
      <c r="A935" s="17">
        <v>43556</v>
      </c>
      <c r="B935" s="4" t="s">
        <v>35</v>
      </c>
      <c r="C935" s="4" t="s">
        <v>36</v>
      </c>
      <c r="D935" s="4" t="s">
        <v>37</v>
      </c>
      <c r="E935" s="4" t="s">
        <v>18</v>
      </c>
      <c r="F935" s="4" t="s">
        <v>19</v>
      </c>
      <c r="G935" s="7">
        <v>16256422784.34</v>
      </c>
    </row>
    <row ht="12.8" outlineLevel="0" r="936" s="4" customFormat="1">
      <c r="A936" s="17">
        <v>43556</v>
      </c>
      <c r="B936" s="4" t="s">
        <v>26</v>
      </c>
      <c r="C936" s="4" t="s">
        <v>27</v>
      </c>
      <c r="D936" s="4" t="s">
        <v>28</v>
      </c>
      <c r="E936" s="4" t="s">
        <v>16</v>
      </c>
      <c r="F936" s="4" t="s">
        <v>17</v>
      </c>
      <c r="G936" s="7">
        <v>106107575250.581</v>
      </c>
    </row>
    <row ht="12.8" outlineLevel="0" r="937" s="4" customFormat="1">
      <c r="A937" s="17">
        <v>43556</v>
      </c>
      <c r="B937" s="4" t="s">
        <v>26</v>
      </c>
      <c r="C937" s="4" t="s">
        <v>27</v>
      </c>
      <c r="D937" s="4" t="s">
        <v>28</v>
      </c>
      <c r="E937" s="4" t="s">
        <v>10</v>
      </c>
      <c r="F937" s="4" t="s">
        <v>11</v>
      </c>
      <c r="G937" s="7">
        <v>350568113379</v>
      </c>
    </row>
    <row ht="12.8" outlineLevel="0" r="938" s="4" customFormat="1">
      <c r="A938" s="17">
        <v>43556</v>
      </c>
      <c r="B938" s="4" t="s">
        <v>12</v>
      </c>
      <c r="C938" s="4" t="s">
        <v>8</v>
      </c>
      <c r="D938" s="4" t="s">
        <v>9</v>
      </c>
      <c r="E938" s="4" t="s">
        <v>10</v>
      </c>
      <c r="F938" s="4" t="s">
        <v>11</v>
      </c>
      <c r="G938" s="7">
        <v>435846669561</v>
      </c>
    </row>
    <row ht="12.8" outlineLevel="0" r="939" s="4" customFormat="1">
      <c r="A939" s="17">
        <v>43556</v>
      </c>
      <c r="B939" s="4" t="s">
        <v>26</v>
      </c>
      <c r="C939" s="4" t="s">
        <v>27</v>
      </c>
      <c r="D939" s="4" t="s">
        <v>28</v>
      </c>
      <c r="E939" s="4" t="s">
        <v>18</v>
      </c>
      <c r="F939" s="4" t="s">
        <v>19</v>
      </c>
      <c r="G939" s="7">
        <v>90253787572.6747</v>
      </c>
    </row>
    <row ht="12.8" outlineLevel="0" r="940" s="4" customFormat="1">
      <c r="A940" s="17">
        <v>43556</v>
      </c>
      <c r="B940" s="4" t="s">
        <v>22</v>
      </c>
      <c r="C940" s="4" t="s">
        <v>23</v>
      </c>
      <c r="D940" s="4" t="s">
        <v>24</v>
      </c>
      <c r="E940" s="4" t="s">
        <v>16</v>
      </c>
      <c r="F940" s="4" t="s">
        <v>17</v>
      </c>
      <c r="G940" s="7">
        <v>48533608164.06</v>
      </c>
    </row>
    <row ht="12.8" outlineLevel="0" r="941" s="4" customFormat="1">
      <c r="A941" s="17">
        <v>43556</v>
      </c>
      <c r="B941" s="4" t="s">
        <v>29</v>
      </c>
      <c r="C941" s="4" t="s">
        <v>30</v>
      </c>
      <c r="D941" s="4" t="s">
        <v>31</v>
      </c>
      <c r="E941" s="4" t="s">
        <v>18</v>
      </c>
      <c r="F941" s="4" t="s">
        <v>19</v>
      </c>
      <c r="G941" s="7">
        <v>130651520201.33</v>
      </c>
    </row>
    <row ht="12.8" outlineLevel="0" r="942" s="4" customFormat="1">
      <c r="A942" s="17">
        <v>43556</v>
      </c>
      <c r="B942" s="4" t="s">
        <v>13</v>
      </c>
      <c r="C942" s="4" t="s">
        <v>8</v>
      </c>
      <c r="D942" s="4" t="s">
        <v>9</v>
      </c>
      <c r="E942" s="4" t="s">
        <v>14</v>
      </c>
      <c r="F942" s="4" t="s">
        <v>15</v>
      </c>
      <c r="G942" s="7">
        <v>173097423679.467</v>
      </c>
    </row>
    <row ht="12.8" outlineLevel="0" r="943" s="4" customFormat="1">
      <c r="A943" s="17">
        <v>43556</v>
      </c>
      <c r="B943" s="4" t="s">
        <v>22</v>
      </c>
      <c r="C943" s="4" t="s">
        <v>23</v>
      </c>
      <c r="D943" s="4" t="s">
        <v>24</v>
      </c>
      <c r="E943" s="4" t="s">
        <v>14</v>
      </c>
      <c r="F943" s="4" t="s">
        <v>15</v>
      </c>
      <c r="G943" s="7">
        <v>53279405345.48</v>
      </c>
    </row>
    <row ht="12.8" outlineLevel="0" r="944" s="4" customFormat="1">
      <c r="A944" s="17">
        <v>43556</v>
      </c>
      <c r="B944" s="4" t="s">
        <v>22</v>
      </c>
      <c r="C944" s="4" t="s">
        <v>23</v>
      </c>
      <c r="D944" s="4" t="s">
        <v>24</v>
      </c>
      <c r="E944" s="4" t="s">
        <v>10</v>
      </c>
      <c r="F944" s="4" t="s">
        <v>11</v>
      </c>
      <c r="G944" s="7">
        <v>305673371655</v>
      </c>
    </row>
    <row ht="12.8" outlineLevel="0" r="945" s="4" customFormat="1">
      <c r="A945" s="17">
        <v>43525</v>
      </c>
      <c r="B945" s="4" t="s">
        <v>7</v>
      </c>
      <c r="C945" s="4" t="s">
        <v>8</v>
      </c>
      <c r="D945" s="4" t="s">
        <v>9</v>
      </c>
      <c r="E945" s="4" t="s">
        <v>18</v>
      </c>
      <c r="F945" s="4" t="s">
        <v>19</v>
      </c>
      <c r="G945" s="7">
        <v>83691656459.63</v>
      </c>
    </row>
    <row ht="12.8" outlineLevel="0" r="946" s="4" customFormat="1">
      <c r="A946" s="17">
        <v>43525</v>
      </c>
      <c r="B946" s="4" t="s">
        <v>13</v>
      </c>
      <c r="C946" s="4" t="s">
        <v>8</v>
      </c>
      <c r="D946" s="4" t="s">
        <v>9</v>
      </c>
      <c r="E946" s="4" t="s">
        <v>18</v>
      </c>
      <c r="F946" s="4" t="s">
        <v>19</v>
      </c>
      <c r="G946" s="7">
        <v>53528608816.3985</v>
      </c>
    </row>
    <row ht="12.8" outlineLevel="0" r="947" s="4" customFormat="1">
      <c r="A947" s="17">
        <v>43525</v>
      </c>
      <c r="B947" s="4" t="s">
        <v>13</v>
      </c>
      <c r="C947" s="4" t="s">
        <v>8</v>
      </c>
      <c r="D947" s="4" t="s">
        <v>9</v>
      </c>
      <c r="E947" s="4" t="s">
        <v>16</v>
      </c>
      <c r="F947" s="4" t="s">
        <v>17</v>
      </c>
      <c r="G947" s="7">
        <v>57882244685.766</v>
      </c>
    </row>
    <row ht="12.8" outlineLevel="0" r="948" s="4" customFormat="1">
      <c r="A948" s="17">
        <v>43525</v>
      </c>
      <c r="B948" s="4" t="s">
        <v>13</v>
      </c>
      <c r="C948" s="4" t="s">
        <v>8</v>
      </c>
      <c r="D948" s="4" t="s">
        <v>9</v>
      </c>
      <c r="E948" s="4" t="s">
        <v>10</v>
      </c>
      <c r="F948" s="4" t="s">
        <v>11</v>
      </c>
      <c r="G948" s="7">
        <v>520250886734.11</v>
      </c>
    </row>
    <row ht="12.8" outlineLevel="0" r="949" s="4" customFormat="1">
      <c r="A949" s="17">
        <v>43525</v>
      </c>
      <c r="B949" s="4" t="s">
        <v>12</v>
      </c>
      <c r="C949" s="4" t="s">
        <v>8</v>
      </c>
      <c r="D949" s="4" t="s">
        <v>9</v>
      </c>
      <c r="E949" s="4" t="s">
        <v>16</v>
      </c>
      <c r="F949" s="4" t="s">
        <v>17</v>
      </c>
      <c r="G949" s="7">
        <v>149027023215.57</v>
      </c>
    </row>
    <row ht="12.8" outlineLevel="0" r="950" s="4" customFormat="1">
      <c r="A950" s="17">
        <v>43525</v>
      </c>
      <c r="B950" s="4" t="s">
        <v>12</v>
      </c>
      <c r="C950" s="4" t="s">
        <v>8</v>
      </c>
      <c r="D950" s="4" t="s">
        <v>9</v>
      </c>
      <c r="E950" s="4" t="s">
        <v>14</v>
      </c>
      <c r="F950" s="4" t="s">
        <v>15</v>
      </c>
      <c r="G950" s="7">
        <v>312988428945.08</v>
      </c>
    </row>
    <row ht="12.8" outlineLevel="0" r="951" s="4" customFormat="1">
      <c r="A951" s="17">
        <v>43525</v>
      </c>
      <c r="B951" s="4" t="s">
        <v>29</v>
      </c>
      <c r="C951" s="4" t="s">
        <v>30</v>
      </c>
      <c r="D951" s="4" t="s">
        <v>31</v>
      </c>
      <c r="E951" s="4" t="s">
        <v>16</v>
      </c>
      <c r="F951" s="4" t="s">
        <v>17</v>
      </c>
      <c r="G951" s="7">
        <v>117252511578.38</v>
      </c>
    </row>
    <row ht="12.8" outlineLevel="0" r="952" s="4" customFormat="1">
      <c r="A952" s="17">
        <v>43525</v>
      </c>
      <c r="B952" s="4" t="s">
        <v>12</v>
      </c>
      <c r="C952" s="4" t="s">
        <v>8</v>
      </c>
      <c r="D952" s="4" t="s">
        <v>9</v>
      </c>
      <c r="E952" s="4" t="s">
        <v>18</v>
      </c>
      <c r="F952" s="4" t="s">
        <v>19</v>
      </c>
      <c r="G952" s="7">
        <v>113214184621.17</v>
      </c>
    </row>
    <row ht="12.8" outlineLevel="0" r="953" s="4" customFormat="1">
      <c r="A953" s="17">
        <v>43525</v>
      </c>
      <c r="B953" s="4" t="s">
        <v>12</v>
      </c>
      <c r="C953" s="4" t="s">
        <v>8</v>
      </c>
      <c r="D953" s="4" t="s">
        <v>9</v>
      </c>
      <c r="E953" s="4" t="s">
        <v>10</v>
      </c>
      <c r="F953" s="4" t="s">
        <v>11</v>
      </c>
      <c r="G953" s="7">
        <v>436146669561</v>
      </c>
    </row>
    <row ht="12.8" outlineLevel="0" r="954" s="4" customFormat="1">
      <c r="A954" s="17">
        <v>43525</v>
      </c>
      <c r="B954" s="4" t="s">
        <v>7</v>
      </c>
      <c r="C954" s="4" t="s">
        <v>8</v>
      </c>
      <c r="D954" s="4" t="s">
        <v>9</v>
      </c>
      <c r="E954" s="4" t="s">
        <v>14</v>
      </c>
      <c r="F954" s="4" t="s">
        <v>15</v>
      </c>
      <c r="G954" s="7">
        <v>277832606376.59</v>
      </c>
    </row>
    <row ht="12.8" outlineLevel="0" r="955" s="4" customFormat="1">
      <c r="A955" s="17">
        <v>43525</v>
      </c>
      <c r="B955" s="4" t="s">
        <v>32</v>
      </c>
      <c r="C955" s="4" t="s">
        <v>33</v>
      </c>
      <c r="D955" s="4" t="s">
        <v>34</v>
      </c>
      <c r="E955" s="4" t="s">
        <v>18</v>
      </c>
      <c r="F955" s="4" t="s">
        <v>19</v>
      </c>
      <c r="G955" s="7">
        <v>496636674.708</v>
      </c>
    </row>
    <row ht="12.8" outlineLevel="0" r="956" s="4" customFormat="1">
      <c r="A956" s="17">
        <v>43525</v>
      </c>
      <c r="B956" s="4" t="s">
        <v>38</v>
      </c>
      <c r="C956" s="4" t="s">
        <v>39</v>
      </c>
      <c r="D956" s="4" t="s">
        <v>40</v>
      </c>
      <c r="E956" s="4" t="s">
        <v>10</v>
      </c>
      <c r="F956" s="4" t="s">
        <v>11</v>
      </c>
      <c r="G956" s="7">
        <v>33403505954</v>
      </c>
    </row>
    <row ht="12.8" outlineLevel="0" r="957" s="4" customFormat="1">
      <c r="A957" s="17">
        <v>43525</v>
      </c>
      <c r="B957" s="4" t="s">
        <v>32</v>
      </c>
      <c r="C957" s="4" t="s">
        <v>33</v>
      </c>
      <c r="D957" s="4" t="s">
        <v>34</v>
      </c>
      <c r="E957" s="4" t="s">
        <v>10</v>
      </c>
      <c r="F957" s="4" t="s">
        <v>11</v>
      </c>
      <c r="G957" s="7">
        <v>36178016889</v>
      </c>
    </row>
    <row ht="12.8" outlineLevel="0" r="958" s="4" customFormat="1">
      <c r="A958" s="17">
        <v>43525</v>
      </c>
      <c r="B958" s="4" t="s">
        <v>29</v>
      </c>
      <c r="C958" s="4" t="s">
        <v>30</v>
      </c>
      <c r="D958" s="4" t="s">
        <v>31</v>
      </c>
      <c r="E958" s="4" t="s">
        <v>18</v>
      </c>
      <c r="F958" s="4" t="s">
        <v>19</v>
      </c>
      <c r="G958" s="7">
        <v>117252511578.38</v>
      </c>
    </row>
    <row ht="12.8" outlineLevel="0" r="959" s="4" customFormat="1">
      <c r="A959" s="17">
        <v>43525</v>
      </c>
      <c r="B959" s="4" t="s">
        <v>7</v>
      </c>
      <c r="C959" s="4" t="s">
        <v>8</v>
      </c>
      <c r="D959" s="4" t="s">
        <v>9</v>
      </c>
      <c r="E959" s="4" t="s">
        <v>16</v>
      </c>
      <c r="F959" s="4" t="s">
        <v>17</v>
      </c>
      <c r="G959" s="7">
        <v>83713294656.79</v>
      </c>
    </row>
    <row ht="12.8" outlineLevel="0" r="960" s="4" customFormat="1">
      <c r="A960" s="17">
        <v>43525</v>
      </c>
      <c r="B960" s="4" t="s">
        <v>13</v>
      </c>
      <c r="C960" s="4" t="s">
        <v>8</v>
      </c>
      <c r="D960" s="4" t="s">
        <v>9</v>
      </c>
      <c r="E960" s="4" t="s">
        <v>14</v>
      </c>
      <c r="F960" s="4" t="s">
        <v>15</v>
      </c>
      <c r="G960" s="7">
        <v>147464166638.147</v>
      </c>
    </row>
    <row ht="12.8" outlineLevel="0" r="961" s="4" customFormat="1">
      <c r="A961" s="17">
        <v>43525</v>
      </c>
      <c r="B961" s="4" t="s">
        <v>32</v>
      </c>
      <c r="C961" s="4" t="s">
        <v>33</v>
      </c>
      <c r="D961" s="4" t="s">
        <v>34</v>
      </c>
      <c r="E961" s="4" t="s">
        <v>14</v>
      </c>
      <c r="F961" s="4" t="s">
        <v>15</v>
      </c>
      <c r="G961" s="7">
        <v>2960499343.3697</v>
      </c>
    </row>
    <row ht="12.8" outlineLevel="0" r="962" s="4" customFormat="1">
      <c r="A962" s="17">
        <v>43525</v>
      </c>
      <c r="B962" s="4" t="s">
        <v>32</v>
      </c>
      <c r="C962" s="4" t="s">
        <v>33</v>
      </c>
      <c r="D962" s="4" t="s">
        <v>34</v>
      </c>
      <c r="E962" s="4" t="s">
        <v>16</v>
      </c>
      <c r="F962" s="4" t="s">
        <v>17</v>
      </c>
      <c r="G962" s="7">
        <v>588434793.468</v>
      </c>
    </row>
    <row ht="12.8" outlineLevel="0" r="963" s="4" customFormat="1">
      <c r="A963" s="17">
        <v>43525</v>
      </c>
      <c r="B963" s="4" t="s">
        <v>22</v>
      </c>
      <c r="C963" s="4" t="s">
        <v>23</v>
      </c>
      <c r="D963" s="4" t="s">
        <v>24</v>
      </c>
      <c r="E963" s="4" t="s">
        <v>14</v>
      </c>
      <c r="F963" s="4" t="s">
        <v>15</v>
      </c>
      <c r="G963" s="7">
        <v>44529405345.48</v>
      </c>
    </row>
    <row ht="12.8" outlineLevel="0" r="964" s="4" customFormat="1">
      <c r="A964" s="17">
        <v>43525</v>
      </c>
      <c r="B964" s="4" t="s">
        <v>29</v>
      </c>
      <c r="C964" s="4" t="s">
        <v>30</v>
      </c>
      <c r="D964" s="4" t="s">
        <v>31</v>
      </c>
      <c r="E964" s="4" t="s">
        <v>14</v>
      </c>
      <c r="F964" s="4" t="s">
        <v>15</v>
      </c>
      <c r="G964" s="7">
        <v>124109219013.82</v>
      </c>
    </row>
    <row ht="12.8" outlineLevel="0" r="965" s="4" customFormat="1">
      <c r="A965" s="17">
        <v>43525</v>
      </c>
      <c r="B965" s="4" t="s">
        <v>29</v>
      </c>
      <c r="C965" s="4" t="s">
        <v>30</v>
      </c>
      <c r="D965" s="4" t="s">
        <v>31</v>
      </c>
      <c r="E965" s="4" t="s">
        <v>10</v>
      </c>
      <c r="F965" s="4" t="s">
        <v>11</v>
      </c>
      <c r="G965" s="7">
        <v>378896007187</v>
      </c>
    </row>
    <row ht="12.8" outlineLevel="0" r="966" s="4" customFormat="1">
      <c r="A966" s="17">
        <v>43525</v>
      </c>
      <c r="B966" s="4" t="s">
        <v>26</v>
      </c>
      <c r="C966" s="4" t="s">
        <v>27</v>
      </c>
      <c r="D966" s="4" t="s">
        <v>28</v>
      </c>
      <c r="E966" s="4" t="s">
        <v>18</v>
      </c>
      <c r="F966" s="4" t="s">
        <v>19</v>
      </c>
      <c r="G966" s="7">
        <v>65012603846.3906</v>
      </c>
    </row>
    <row ht="12.8" outlineLevel="0" r="967" s="4" customFormat="1">
      <c r="A967" s="17">
        <v>43525</v>
      </c>
      <c r="B967" s="4" t="s">
        <v>26</v>
      </c>
      <c r="C967" s="4" t="s">
        <v>27</v>
      </c>
      <c r="D967" s="4" t="s">
        <v>28</v>
      </c>
      <c r="E967" s="4" t="s">
        <v>16</v>
      </c>
      <c r="F967" s="4" t="s">
        <v>17</v>
      </c>
      <c r="G967" s="7">
        <v>80729459634.1706</v>
      </c>
    </row>
    <row ht="12.8" outlineLevel="0" r="968" s="4" customFormat="1">
      <c r="A968" s="17">
        <v>43525</v>
      </c>
      <c r="B968" s="4" t="s">
        <v>26</v>
      </c>
      <c r="C968" s="4" t="s">
        <v>27</v>
      </c>
      <c r="D968" s="4" t="s">
        <v>28</v>
      </c>
      <c r="E968" s="4" t="s">
        <v>14</v>
      </c>
      <c r="F968" s="4" t="s">
        <v>15</v>
      </c>
      <c r="G968" s="7">
        <v>230113023678.751</v>
      </c>
    </row>
    <row ht="12.8" outlineLevel="0" r="969" s="4" customFormat="1">
      <c r="A969" s="17">
        <v>43525</v>
      </c>
      <c r="B969" s="4" t="s">
        <v>25</v>
      </c>
      <c r="C969" s="4" t="s">
        <v>23</v>
      </c>
      <c r="D969" s="4" t="s">
        <v>24</v>
      </c>
      <c r="E969" s="4" t="s">
        <v>18</v>
      </c>
      <c r="F969" s="4" t="s">
        <v>19</v>
      </c>
      <c r="G969" s="7">
        <v>203811248989.43</v>
      </c>
    </row>
    <row ht="12.8" outlineLevel="0" r="970" s="4" customFormat="1">
      <c r="A970" s="17">
        <v>43525</v>
      </c>
      <c r="B970" s="4" t="s">
        <v>22</v>
      </c>
      <c r="C970" s="4" t="s">
        <v>23</v>
      </c>
      <c r="D970" s="4" t="s">
        <v>24</v>
      </c>
      <c r="E970" s="4" t="s">
        <v>10</v>
      </c>
      <c r="F970" s="4" t="s">
        <v>11</v>
      </c>
      <c r="G970" s="7">
        <v>289062593614</v>
      </c>
    </row>
    <row ht="12.8" outlineLevel="0" r="971" s="4" customFormat="1">
      <c r="A971" s="17">
        <v>43525</v>
      </c>
      <c r="B971" s="4" t="s">
        <v>35</v>
      </c>
      <c r="C971" s="4" t="s">
        <v>36</v>
      </c>
      <c r="D971" s="4" t="s">
        <v>37</v>
      </c>
      <c r="E971" s="4" t="s">
        <v>18</v>
      </c>
      <c r="F971" s="4" t="s">
        <v>19</v>
      </c>
      <c r="G971" s="7">
        <v>10296004792.18</v>
      </c>
    </row>
    <row ht="12.8" outlineLevel="0" r="972" s="4" customFormat="1">
      <c r="A972" s="17">
        <v>43525</v>
      </c>
      <c r="B972" s="4" t="s">
        <v>25</v>
      </c>
      <c r="C972" s="4" t="s">
        <v>23</v>
      </c>
      <c r="D972" s="4" t="s">
        <v>24</v>
      </c>
      <c r="E972" s="4" t="s">
        <v>16</v>
      </c>
      <c r="F972" s="4" t="s">
        <v>17</v>
      </c>
      <c r="G972" s="7">
        <v>203811248989.43</v>
      </c>
    </row>
    <row ht="12.8" outlineLevel="0" r="973" s="4" customFormat="1">
      <c r="A973" s="17">
        <v>43525</v>
      </c>
      <c r="B973" s="4" t="s">
        <v>35</v>
      </c>
      <c r="C973" s="4" t="s">
        <v>36</v>
      </c>
      <c r="D973" s="4" t="s">
        <v>37</v>
      </c>
      <c r="E973" s="4" t="s">
        <v>10</v>
      </c>
      <c r="F973" s="4" t="s">
        <v>11</v>
      </c>
      <c r="G973" s="7">
        <v>93023602033</v>
      </c>
    </row>
    <row ht="12.8" outlineLevel="0" r="974" s="4" customFormat="1">
      <c r="A974" s="17">
        <v>43525</v>
      </c>
      <c r="B974" s="4" t="s">
        <v>22</v>
      </c>
      <c r="C974" s="4" t="s">
        <v>23</v>
      </c>
      <c r="D974" s="4" t="s">
        <v>24</v>
      </c>
      <c r="E974" s="4" t="s">
        <v>18</v>
      </c>
      <c r="F974" s="4" t="s">
        <v>19</v>
      </c>
      <c r="G974" s="7">
        <v>38540468935.89</v>
      </c>
    </row>
    <row ht="12.8" outlineLevel="0" r="975" s="4" customFormat="1">
      <c r="A975" s="17">
        <v>43525</v>
      </c>
      <c r="B975" s="4" t="s">
        <v>22</v>
      </c>
      <c r="C975" s="4" t="s">
        <v>23</v>
      </c>
      <c r="D975" s="4" t="s">
        <v>24</v>
      </c>
      <c r="E975" s="4" t="s">
        <v>16</v>
      </c>
      <c r="F975" s="4" t="s">
        <v>17</v>
      </c>
      <c r="G975" s="7">
        <v>38540468935.89</v>
      </c>
    </row>
    <row ht="12.8" outlineLevel="0" r="976" s="4" customFormat="1">
      <c r="A976" s="17">
        <v>43525</v>
      </c>
      <c r="B976" s="4" t="s">
        <v>25</v>
      </c>
      <c r="C976" s="4" t="s">
        <v>23</v>
      </c>
      <c r="D976" s="4" t="s">
        <v>24</v>
      </c>
      <c r="E976" s="4" t="s">
        <v>10</v>
      </c>
      <c r="F976" s="4" t="s">
        <v>11</v>
      </c>
      <c r="G976" s="7">
        <v>756876510542</v>
      </c>
    </row>
    <row ht="12.8" outlineLevel="0" r="977" s="4" customFormat="1">
      <c r="A977" s="17">
        <v>43525</v>
      </c>
      <c r="B977" s="4" t="s">
        <v>35</v>
      </c>
      <c r="C977" s="4" t="s">
        <v>36</v>
      </c>
      <c r="D977" s="4" t="s">
        <v>37</v>
      </c>
      <c r="E977" s="4" t="s">
        <v>16</v>
      </c>
      <c r="F977" s="4" t="s">
        <v>17</v>
      </c>
      <c r="G977" s="7">
        <v>10453693337.03</v>
      </c>
    </row>
    <row ht="12.8" outlineLevel="0" r="978" s="4" customFormat="1">
      <c r="A978" s="17">
        <v>43525</v>
      </c>
      <c r="B978" s="4" t="s">
        <v>26</v>
      </c>
      <c r="C978" s="4" t="s">
        <v>27</v>
      </c>
      <c r="D978" s="4" t="s">
        <v>28</v>
      </c>
      <c r="E978" s="4" t="s">
        <v>10</v>
      </c>
      <c r="F978" s="4" t="s">
        <v>11</v>
      </c>
      <c r="G978" s="7">
        <v>350401105712</v>
      </c>
    </row>
    <row ht="12.8" outlineLevel="0" r="979" s="4" customFormat="1">
      <c r="A979" s="17">
        <v>43525</v>
      </c>
      <c r="B979" s="4" t="s">
        <v>25</v>
      </c>
      <c r="C979" s="4" t="s">
        <v>23</v>
      </c>
      <c r="D979" s="4" t="s">
        <v>24</v>
      </c>
      <c r="E979" s="4" t="s">
        <v>14</v>
      </c>
      <c r="F979" s="4" t="s">
        <v>15</v>
      </c>
      <c r="G979" s="7">
        <v>280804166762.57</v>
      </c>
    </row>
    <row ht="12.8" outlineLevel="0" r="980" s="4" customFormat="1">
      <c r="A980" s="17">
        <v>43525</v>
      </c>
      <c r="B980" s="4" t="s">
        <v>35</v>
      </c>
      <c r="C980" s="4" t="s">
        <v>36</v>
      </c>
      <c r="D980" s="4" t="s">
        <v>37</v>
      </c>
      <c r="E980" s="4" t="s">
        <v>14</v>
      </c>
      <c r="F980" s="4" t="s">
        <v>15</v>
      </c>
      <c r="G980" s="7">
        <v>42856208225.18</v>
      </c>
    </row>
    <row ht="12.8" outlineLevel="0" r="981" s="4" customFormat="1">
      <c r="A981" s="17">
        <v>43525</v>
      </c>
      <c r="B981" s="4" t="s">
        <v>7</v>
      </c>
      <c r="C981" s="4" t="s">
        <v>8</v>
      </c>
      <c r="D981" s="4" t="s">
        <v>9</v>
      </c>
      <c r="E981" s="4" t="s">
        <v>10</v>
      </c>
      <c r="F981" s="4" t="s">
        <v>11</v>
      </c>
      <c r="G981" s="7">
        <v>367974469553.28</v>
      </c>
    </row>
    <row ht="12.8" outlineLevel="0" r="982" s="4" customFormat="1">
      <c r="A982" s="17">
        <v>43497</v>
      </c>
      <c r="B982" s="4" t="s">
        <v>32</v>
      </c>
      <c r="C982" s="4" t="s">
        <v>33</v>
      </c>
      <c r="D982" s="4" t="s">
        <v>34</v>
      </c>
      <c r="E982" s="4" t="s">
        <v>16</v>
      </c>
      <c r="F982" s="4" t="s">
        <v>17</v>
      </c>
      <c r="G982" s="7">
        <v>124580242.2929</v>
      </c>
    </row>
    <row ht="12.8" outlineLevel="0" r="983" s="4" customFormat="1">
      <c r="A983" s="17">
        <v>43497</v>
      </c>
      <c r="B983" s="4" t="s">
        <v>32</v>
      </c>
      <c r="C983" s="4" t="s">
        <v>33</v>
      </c>
      <c r="D983" s="4" t="s">
        <v>34</v>
      </c>
      <c r="E983" s="4" t="s">
        <v>14</v>
      </c>
      <c r="F983" s="4" t="s">
        <v>15</v>
      </c>
      <c r="G983" s="7">
        <v>2211693481.958</v>
      </c>
    </row>
    <row ht="12.8" outlineLevel="0" r="984" s="4" customFormat="1">
      <c r="A984" s="17">
        <v>43497</v>
      </c>
      <c r="B984" s="4" t="s">
        <v>26</v>
      </c>
      <c r="C984" s="4" t="s">
        <v>27</v>
      </c>
      <c r="D984" s="4" t="s">
        <v>28</v>
      </c>
      <c r="E984" s="4" t="s">
        <v>14</v>
      </c>
      <c r="F984" s="4" t="s">
        <v>15</v>
      </c>
      <c r="G984" s="7">
        <v>216721478460.821</v>
      </c>
    </row>
    <row ht="12.8" outlineLevel="0" r="985" s="4" customFormat="1">
      <c r="A985" s="17">
        <v>43497</v>
      </c>
      <c r="B985" s="4" t="s">
        <v>32</v>
      </c>
      <c r="C985" s="4" t="s">
        <v>33</v>
      </c>
      <c r="D985" s="4" t="s">
        <v>34</v>
      </c>
      <c r="E985" s="4" t="s">
        <v>18</v>
      </c>
      <c r="F985" s="4" t="s">
        <v>19</v>
      </c>
      <c r="G985" s="7">
        <v>34904538.7129</v>
      </c>
    </row>
    <row ht="12.8" outlineLevel="0" r="986" s="4" customFormat="1">
      <c r="A986" s="17">
        <v>43497</v>
      </c>
      <c r="B986" s="4" t="s">
        <v>13</v>
      </c>
      <c r="C986" s="4" t="s">
        <v>8</v>
      </c>
      <c r="D986" s="4" t="s">
        <v>9</v>
      </c>
      <c r="E986" s="4" t="s">
        <v>14</v>
      </c>
      <c r="F986" s="4" t="s">
        <v>15</v>
      </c>
      <c r="G986" s="7">
        <v>136825387457.217</v>
      </c>
    </row>
    <row ht="12.8" outlineLevel="0" r="987" s="4" customFormat="1">
      <c r="A987" s="17">
        <v>43497</v>
      </c>
      <c r="B987" s="4" t="s">
        <v>13</v>
      </c>
      <c r="C987" s="4" t="s">
        <v>8</v>
      </c>
      <c r="D987" s="4" t="s">
        <v>9</v>
      </c>
      <c r="E987" s="4" t="s">
        <v>16</v>
      </c>
      <c r="F987" s="4" t="s">
        <v>17</v>
      </c>
      <c r="G987" s="7">
        <v>35848817490.8984</v>
      </c>
    </row>
    <row ht="12.8" outlineLevel="0" r="988" s="4" customFormat="1">
      <c r="A988" s="17">
        <v>43497</v>
      </c>
      <c r="B988" s="4" t="s">
        <v>32</v>
      </c>
      <c r="C988" s="4" t="s">
        <v>33</v>
      </c>
      <c r="D988" s="4" t="s">
        <v>34</v>
      </c>
      <c r="E988" s="4" t="s">
        <v>10</v>
      </c>
      <c r="F988" s="4" t="s">
        <v>11</v>
      </c>
      <c r="G988" s="7">
        <v>36208652952</v>
      </c>
    </row>
    <row ht="12.8" outlineLevel="0" r="989" s="4" customFormat="1">
      <c r="A989" s="17">
        <v>43497</v>
      </c>
      <c r="B989" s="4" t="s">
        <v>38</v>
      </c>
      <c r="C989" s="4" t="s">
        <v>39</v>
      </c>
      <c r="D989" s="4" t="s">
        <v>40</v>
      </c>
      <c r="E989" s="4" t="s">
        <v>10</v>
      </c>
      <c r="F989" s="4" t="s">
        <v>11</v>
      </c>
      <c r="G989" s="7">
        <v>33403505954</v>
      </c>
    </row>
    <row ht="12.8" outlineLevel="0" r="990" s="4" customFormat="1">
      <c r="A990" s="17">
        <v>43497</v>
      </c>
      <c r="B990" s="4" t="s">
        <v>13</v>
      </c>
      <c r="C990" s="4" t="s">
        <v>8</v>
      </c>
      <c r="D990" s="4" t="s">
        <v>9</v>
      </c>
      <c r="E990" s="4" t="s">
        <v>18</v>
      </c>
      <c r="F990" s="4" t="s">
        <v>19</v>
      </c>
      <c r="G990" s="7">
        <v>31569269397.7556</v>
      </c>
    </row>
    <row ht="12.8" outlineLevel="0" r="991" s="4" customFormat="1">
      <c r="A991" s="17">
        <v>43497</v>
      </c>
      <c r="B991" s="4" t="s">
        <v>29</v>
      </c>
      <c r="C991" s="4" t="s">
        <v>30</v>
      </c>
      <c r="D991" s="4" t="s">
        <v>31</v>
      </c>
      <c r="E991" s="4" t="s">
        <v>14</v>
      </c>
      <c r="F991" s="4" t="s">
        <v>15</v>
      </c>
      <c r="G991" s="7">
        <v>102847589580.15</v>
      </c>
    </row>
    <row ht="12.8" outlineLevel="0" r="992" s="4" customFormat="1">
      <c r="A992" s="17">
        <v>43497</v>
      </c>
      <c r="B992" s="4" t="s">
        <v>25</v>
      </c>
      <c r="C992" s="4" t="s">
        <v>23</v>
      </c>
      <c r="D992" s="4" t="s">
        <v>24</v>
      </c>
      <c r="E992" s="4" t="s">
        <v>16</v>
      </c>
      <c r="F992" s="4" t="s">
        <v>17</v>
      </c>
      <c r="G992" s="7">
        <v>136029865146.41</v>
      </c>
    </row>
    <row ht="12.8" outlineLevel="0" r="993" s="4" customFormat="1">
      <c r="A993" s="17">
        <v>43497</v>
      </c>
      <c r="B993" s="4" t="s">
        <v>26</v>
      </c>
      <c r="C993" s="4" t="s">
        <v>27</v>
      </c>
      <c r="D993" s="4" t="s">
        <v>28</v>
      </c>
      <c r="E993" s="4" t="s">
        <v>10</v>
      </c>
      <c r="F993" s="4" t="s">
        <v>11</v>
      </c>
      <c r="G993" s="7">
        <v>350435378742</v>
      </c>
    </row>
    <row ht="12.8" outlineLevel="0" r="994" s="4" customFormat="1">
      <c r="A994" s="17">
        <v>43497</v>
      </c>
      <c r="B994" s="4" t="s">
        <v>29</v>
      </c>
      <c r="C994" s="4" t="s">
        <v>30</v>
      </c>
      <c r="D994" s="4" t="s">
        <v>31</v>
      </c>
      <c r="E994" s="4" t="s">
        <v>10</v>
      </c>
      <c r="F994" s="4" t="s">
        <v>11</v>
      </c>
      <c r="G994" s="7">
        <v>378896007187</v>
      </c>
    </row>
    <row ht="12.8" outlineLevel="0" r="995" s="4" customFormat="1">
      <c r="A995" s="17">
        <v>43497</v>
      </c>
      <c r="B995" s="4" t="s">
        <v>26</v>
      </c>
      <c r="C995" s="4" t="s">
        <v>27</v>
      </c>
      <c r="D995" s="4" t="s">
        <v>28</v>
      </c>
      <c r="E995" s="4" t="s">
        <v>16</v>
      </c>
      <c r="F995" s="4" t="s">
        <v>17</v>
      </c>
      <c r="G995" s="7">
        <v>51807097486.8117</v>
      </c>
    </row>
    <row ht="12.8" outlineLevel="0" r="996" s="4" customFormat="1">
      <c r="A996" s="17">
        <v>43497</v>
      </c>
      <c r="B996" s="4" t="s">
        <v>25</v>
      </c>
      <c r="C996" s="4" t="s">
        <v>23</v>
      </c>
      <c r="D996" s="4" t="s">
        <v>24</v>
      </c>
      <c r="E996" s="4" t="s">
        <v>14</v>
      </c>
      <c r="F996" s="4" t="s">
        <v>15</v>
      </c>
      <c r="G996" s="7">
        <v>217366092551.81</v>
      </c>
    </row>
    <row ht="12.8" outlineLevel="0" r="997" s="4" customFormat="1">
      <c r="A997" s="17">
        <v>43497</v>
      </c>
      <c r="B997" s="4" t="s">
        <v>25</v>
      </c>
      <c r="C997" s="4" t="s">
        <v>23</v>
      </c>
      <c r="D997" s="4" t="s">
        <v>24</v>
      </c>
      <c r="E997" s="4" t="s">
        <v>10</v>
      </c>
      <c r="F997" s="4" t="s">
        <v>11</v>
      </c>
      <c r="G997" s="7">
        <v>756976510542</v>
      </c>
    </row>
    <row ht="12.8" outlineLevel="0" r="998" s="4" customFormat="1">
      <c r="A998" s="17">
        <v>43497</v>
      </c>
      <c r="B998" s="4" t="s">
        <v>26</v>
      </c>
      <c r="C998" s="4" t="s">
        <v>27</v>
      </c>
      <c r="D998" s="4" t="s">
        <v>28</v>
      </c>
      <c r="E998" s="4" t="s">
        <v>18</v>
      </c>
      <c r="F998" s="4" t="s">
        <v>19</v>
      </c>
      <c r="G998" s="7">
        <v>36223076255.6317</v>
      </c>
    </row>
    <row ht="12.8" outlineLevel="0" r="999" s="4" customFormat="1">
      <c r="A999" s="17">
        <v>43497</v>
      </c>
      <c r="B999" s="4" t="s">
        <v>35</v>
      </c>
      <c r="C999" s="4" t="s">
        <v>36</v>
      </c>
      <c r="D999" s="4" t="s">
        <v>37</v>
      </c>
      <c r="E999" s="4" t="s">
        <v>18</v>
      </c>
      <c r="F999" s="4" t="s">
        <v>19</v>
      </c>
      <c r="G999" s="7">
        <v>6588953772.9</v>
      </c>
    </row>
    <row ht="12.8" outlineLevel="0" r="1000" s="4" customFormat="1">
      <c r="A1000" s="17">
        <v>43497</v>
      </c>
      <c r="B1000" s="4" t="s">
        <v>29</v>
      </c>
      <c r="C1000" s="4" t="s">
        <v>30</v>
      </c>
      <c r="D1000" s="4" t="s">
        <v>31</v>
      </c>
      <c r="E1000" s="4" t="s">
        <v>18</v>
      </c>
      <c r="F1000" s="4" t="s">
        <v>19</v>
      </c>
      <c r="G1000" s="7">
        <v>95717306545.96</v>
      </c>
    </row>
    <row ht="12.8" outlineLevel="0" r="1001" s="4" customFormat="1">
      <c r="A1001" s="17">
        <v>43497</v>
      </c>
      <c r="B1001" s="4" t="s">
        <v>22</v>
      </c>
      <c r="C1001" s="4" t="s">
        <v>23</v>
      </c>
      <c r="D1001" s="4" t="s">
        <v>24</v>
      </c>
      <c r="E1001" s="4" t="s">
        <v>10</v>
      </c>
      <c r="F1001" s="4" t="s">
        <v>11</v>
      </c>
      <c r="G1001" s="7">
        <v>288962593614</v>
      </c>
    </row>
    <row ht="12.8" outlineLevel="0" r="1002" s="4" customFormat="1">
      <c r="A1002" s="17">
        <v>43497</v>
      </c>
      <c r="B1002" s="4" t="s">
        <v>22</v>
      </c>
      <c r="C1002" s="4" t="s">
        <v>23</v>
      </c>
      <c r="D1002" s="4" t="s">
        <v>24</v>
      </c>
      <c r="E1002" s="4" t="s">
        <v>18</v>
      </c>
      <c r="F1002" s="4" t="s">
        <v>19</v>
      </c>
      <c r="G1002" s="7">
        <v>30772031950.51</v>
      </c>
    </row>
    <row ht="12.8" outlineLevel="0" r="1003" s="4" customFormat="1">
      <c r="A1003" s="17">
        <v>43497</v>
      </c>
      <c r="B1003" s="4" t="s">
        <v>12</v>
      </c>
      <c r="C1003" s="4" t="s">
        <v>8</v>
      </c>
      <c r="D1003" s="4" t="s">
        <v>9</v>
      </c>
      <c r="E1003" s="4" t="s">
        <v>18</v>
      </c>
      <c r="F1003" s="4" t="s">
        <v>19</v>
      </c>
      <c r="G1003" s="7">
        <v>59426846926.69</v>
      </c>
    </row>
    <row ht="12.8" outlineLevel="0" r="1004" s="4" customFormat="1">
      <c r="A1004" s="17">
        <v>43497</v>
      </c>
      <c r="B1004" s="4" t="s">
        <v>22</v>
      </c>
      <c r="C1004" s="4" t="s">
        <v>23</v>
      </c>
      <c r="D1004" s="4" t="s">
        <v>24</v>
      </c>
      <c r="E1004" s="4" t="s">
        <v>14</v>
      </c>
      <c r="F1004" s="4" t="s">
        <v>15</v>
      </c>
      <c r="G1004" s="7">
        <v>34529405345.48</v>
      </c>
    </row>
    <row ht="12.8" outlineLevel="0" r="1005" s="4" customFormat="1">
      <c r="A1005" s="17">
        <v>43497</v>
      </c>
      <c r="B1005" s="4" t="s">
        <v>22</v>
      </c>
      <c r="C1005" s="4" t="s">
        <v>23</v>
      </c>
      <c r="D1005" s="4" t="s">
        <v>24</v>
      </c>
      <c r="E1005" s="4" t="s">
        <v>16</v>
      </c>
      <c r="F1005" s="4" t="s">
        <v>17</v>
      </c>
      <c r="G1005" s="7">
        <v>30772031950.51</v>
      </c>
    </row>
    <row ht="12.8" outlineLevel="0" r="1006" s="4" customFormat="1">
      <c r="A1006" s="17">
        <v>43497</v>
      </c>
      <c r="B1006" s="4" t="s">
        <v>25</v>
      </c>
      <c r="C1006" s="4" t="s">
        <v>23</v>
      </c>
      <c r="D1006" s="4" t="s">
        <v>24</v>
      </c>
      <c r="E1006" s="4" t="s">
        <v>18</v>
      </c>
      <c r="F1006" s="4" t="s">
        <v>19</v>
      </c>
      <c r="G1006" s="7">
        <v>136029865146.41</v>
      </c>
    </row>
    <row ht="12.8" outlineLevel="0" r="1007" s="4" customFormat="1">
      <c r="A1007" s="17">
        <v>43497</v>
      </c>
      <c r="B1007" s="4" t="s">
        <v>7</v>
      </c>
      <c r="C1007" s="4" t="s">
        <v>8</v>
      </c>
      <c r="D1007" s="4" t="s">
        <v>9</v>
      </c>
      <c r="E1007" s="4" t="s">
        <v>16</v>
      </c>
      <c r="F1007" s="4" t="s">
        <v>17</v>
      </c>
      <c r="G1007" s="7">
        <v>61898598571.2</v>
      </c>
    </row>
    <row ht="12.8" outlineLevel="0" r="1008" s="4" customFormat="1">
      <c r="A1008" s="17">
        <v>43497</v>
      </c>
      <c r="B1008" s="4" t="s">
        <v>7</v>
      </c>
      <c r="C1008" s="4" t="s">
        <v>8</v>
      </c>
      <c r="D1008" s="4" t="s">
        <v>9</v>
      </c>
      <c r="E1008" s="4" t="s">
        <v>10</v>
      </c>
      <c r="F1008" s="4" t="s">
        <v>11</v>
      </c>
      <c r="G1008" s="7">
        <v>367786964374.36</v>
      </c>
    </row>
    <row ht="12.8" outlineLevel="0" r="1009" s="4" customFormat="1">
      <c r="A1009" s="17">
        <v>43497</v>
      </c>
      <c r="B1009" s="4" t="s">
        <v>7</v>
      </c>
      <c r="C1009" s="4" t="s">
        <v>8</v>
      </c>
      <c r="D1009" s="4" t="s">
        <v>9</v>
      </c>
      <c r="E1009" s="4" t="s">
        <v>14</v>
      </c>
      <c r="F1009" s="4" t="s">
        <v>15</v>
      </c>
      <c r="G1009" s="7">
        <v>274222550064.94</v>
      </c>
    </row>
    <row ht="12.8" outlineLevel="0" r="1010" s="4" customFormat="1">
      <c r="A1010" s="17">
        <v>43497</v>
      </c>
      <c r="B1010" s="4" t="s">
        <v>13</v>
      </c>
      <c r="C1010" s="4" t="s">
        <v>8</v>
      </c>
      <c r="D1010" s="4" t="s">
        <v>9</v>
      </c>
      <c r="E1010" s="4" t="s">
        <v>10</v>
      </c>
      <c r="F1010" s="4" t="s">
        <v>11</v>
      </c>
      <c r="G1010" s="7">
        <v>520373482820.87</v>
      </c>
    </row>
    <row ht="12.8" outlineLevel="0" r="1011" s="4" customFormat="1">
      <c r="A1011" s="17">
        <v>43497</v>
      </c>
      <c r="B1011" s="4" t="s">
        <v>35</v>
      </c>
      <c r="C1011" s="4" t="s">
        <v>36</v>
      </c>
      <c r="D1011" s="4" t="s">
        <v>37</v>
      </c>
      <c r="E1011" s="4" t="s">
        <v>16</v>
      </c>
      <c r="F1011" s="4" t="s">
        <v>17</v>
      </c>
      <c r="G1011" s="7">
        <v>6832439150.15</v>
      </c>
    </row>
    <row ht="12.8" outlineLevel="0" r="1012" s="4" customFormat="1">
      <c r="A1012" s="17">
        <v>43497</v>
      </c>
      <c r="B1012" s="4" t="s">
        <v>29</v>
      </c>
      <c r="C1012" s="4" t="s">
        <v>30</v>
      </c>
      <c r="D1012" s="4" t="s">
        <v>31</v>
      </c>
      <c r="E1012" s="4" t="s">
        <v>16</v>
      </c>
      <c r="F1012" s="4" t="s">
        <v>17</v>
      </c>
      <c r="G1012" s="7">
        <v>95717306545.96</v>
      </c>
    </row>
    <row ht="12.8" outlineLevel="0" r="1013" s="4" customFormat="1">
      <c r="A1013" s="17">
        <v>43497</v>
      </c>
      <c r="B1013" s="4" t="s">
        <v>35</v>
      </c>
      <c r="C1013" s="4" t="s">
        <v>36</v>
      </c>
      <c r="D1013" s="4" t="s">
        <v>37</v>
      </c>
      <c r="E1013" s="4" t="s">
        <v>10</v>
      </c>
      <c r="F1013" s="4" t="s">
        <v>11</v>
      </c>
      <c r="G1013" s="7">
        <v>93023602033</v>
      </c>
    </row>
    <row ht="12.8" outlineLevel="0" r="1014" s="4" customFormat="1">
      <c r="A1014" s="17">
        <v>43497</v>
      </c>
      <c r="B1014" s="4" t="s">
        <v>35</v>
      </c>
      <c r="C1014" s="4" t="s">
        <v>36</v>
      </c>
      <c r="D1014" s="4" t="s">
        <v>37</v>
      </c>
      <c r="E1014" s="4" t="s">
        <v>14</v>
      </c>
      <c r="F1014" s="4" t="s">
        <v>15</v>
      </c>
      <c r="G1014" s="7">
        <v>42270125880.93</v>
      </c>
    </row>
    <row ht="12.8" outlineLevel="0" r="1015" s="4" customFormat="1">
      <c r="A1015" s="17">
        <v>43497</v>
      </c>
      <c r="B1015" s="4" t="s">
        <v>7</v>
      </c>
      <c r="C1015" s="4" t="s">
        <v>8</v>
      </c>
      <c r="D1015" s="4" t="s">
        <v>9</v>
      </c>
      <c r="E1015" s="4" t="s">
        <v>18</v>
      </c>
      <c r="F1015" s="4" t="s">
        <v>19</v>
      </c>
      <c r="G1015" s="7">
        <v>57795669298.1</v>
      </c>
    </row>
    <row ht="12.8" outlineLevel="0" r="1016" s="4" customFormat="1">
      <c r="A1016" s="17">
        <v>43497</v>
      </c>
      <c r="B1016" s="4" t="s">
        <v>12</v>
      </c>
      <c r="C1016" s="4" t="s">
        <v>8</v>
      </c>
      <c r="D1016" s="4" t="s">
        <v>9</v>
      </c>
      <c r="E1016" s="4" t="s">
        <v>10</v>
      </c>
      <c r="F1016" s="4" t="s">
        <v>11</v>
      </c>
      <c r="G1016" s="7">
        <v>436146669561</v>
      </c>
    </row>
    <row ht="12.8" outlineLevel="0" r="1017" s="4" customFormat="1">
      <c r="A1017" s="17">
        <v>43497</v>
      </c>
      <c r="B1017" s="4" t="s">
        <v>12</v>
      </c>
      <c r="C1017" s="4" t="s">
        <v>8</v>
      </c>
      <c r="D1017" s="4" t="s">
        <v>9</v>
      </c>
      <c r="E1017" s="4" t="s">
        <v>14</v>
      </c>
      <c r="F1017" s="4" t="s">
        <v>15</v>
      </c>
      <c r="G1017" s="7">
        <v>108582764353.31</v>
      </c>
    </row>
    <row ht="12.8" outlineLevel="0" r="1018" s="4" customFormat="1">
      <c r="A1018" s="17">
        <v>43497</v>
      </c>
      <c r="B1018" s="4" t="s">
        <v>12</v>
      </c>
      <c r="C1018" s="4" t="s">
        <v>8</v>
      </c>
      <c r="D1018" s="4" t="s">
        <v>9</v>
      </c>
      <c r="E1018" s="4" t="s">
        <v>16</v>
      </c>
      <c r="F1018" s="4" t="s">
        <v>17</v>
      </c>
      <c r="G1018" s="7">
        <v>95812499599.09</v>
      </c>
    </row>
    <row ht="12.8" outlineLevel="0" r="1019" s="4" customFormat="1">
      <c r="A1019" s="17">
        <v>43466</v>
      </c>
      <c r="B1019" s="4" t="s">
        <v>25</v>
      </c>
      <c r="C1019" s="4" t="s">
        <v>23</v>
      </c>
      <c r="D1019" s="4" t="s">
        <v>24</v>
      </c>
      <c r="E1019" s="4" t="s">
        <v>16</v>
      </c>
      <c r="F1019" s="4" t="s">
        <v>17</v>
      </c>
      <c r="G1019" s="7">
        <v>133880288101.68</v>
      </c>
    </row>
    <row ht="12.8" outlineLevel="0" r="1020" s="4" customFormat="1">
      <c r="A1020" s="17">
        <v>43466</v>
      </c>
      <c r="B1020" s="4" t="s">
        <v>25</v>
      </c>
      <c r="C1020" s="4" t="s">
        <v>23</v>
      </c>
      <c r="D1020" s="4" t="s">
        <v>24</v>
      </c>
      <c r="E1020" s="4" t="s">
        <v>14</v>
      </c>
      <c r="F1020" s="4" t="s">
        <v>15</v>
      </c>
      <c r="G1020" s="7">
        <v>202836760856.98</v>
      </c>
    </row>
    <row ht="12.8" outlineLevel="0" r="1021" s="4" customFormat="1">
      <c r="A1021" s="17">
        <v>43466</v>
      </c>
      <c r="B1021" s="4" t="s">
        <v>22</v>
      </c>
      <c r="C1021" s="4" t="s">
        <v>23</v>
      </c>
      <c r="D1021" s="4" t="s">
        <v>24</v>
      </c>
      <c r="E1021" s="4" t="s">
        <v>10</v>
      </c>
      <c r="F1021" s="4" t="s">
        <v>11</v>
      </c>
      <c r="G1021" s="7">
        <v>288368841214</v>
      </c>
    </row>
    <row ht="12.8" outlineLevel="0" r="1022" s="4" customFormat="1">
      <c r="A1022" s="17">
        <v>43466</v>
      </c>
      <c r="B1022" s="4" t="s">
        <v>22</v>
      </c>
      <c r="C1022" s="4" t="s">
        <v>23</v>
      </c>
      <c r="D1022" s="4" t="s">
        <v>24</v>
      </c>
      <c r="E1022" s="4" t="s">
        <v>18</v>
      </c>
      <c r="F1022" s="4" t="s">
        <v>19</v>
      </c>
      <c r="G1022" s="7">
        <v>30699738529.81</v>
      </c>
    </row>
    <row ht="12.8" outlineLevel="0" r="1023" s="4" customFormat="1">
      <c r="A1023" s="17">
        <v>43466</v>
      </c>
      <c r="B1023" s="4" t="s">
        <v>25</v>
      </c>
      <c r="C1023" s="4" t="s">
        <v>23</v>
      </c>
      <c r="D1023" s="4" t="s">
        <v>24</v>
      </c>
      <c r="E1023" s="4" t="s">
        <v>10</v>
      </c>
      <c r="F1023" s="4" t="s">
        <v>11</v>
      </c>
      <c r="G1023" s="7">
        <v>757570262942</v>
      </c>
    </row>
    <row ht="12.8" outlineLevel="0" r="1024" s="4" customFormat="1">
      <c r="A1024" s="17">
        <v>43466</v>
      </c>
      <c r="B1024" s="4" t="s">
        <v>13</v>
      </c>
      <c r="C1024" s="4" t="s">
        <v>8</v>
      </c>
      <c r="D1024" s="4" t="s">
        <v>9</v>
      </c>
      <c r="E1024" s="4" t="s">
        <v>16</v>
      </c>
      <c r="F1024" s="4" t="s">
        <v>17</v>
      </c>
      <c r="G1024" s="7">
        <v>16587261267.7315</v>
      </c>
    </row>
    <row ht="12.8" outlineLevel="0" r="1025" s="4" customFormat="1">
      <c r="A1025" s="17">
        <v>43466</v>
      </c>
      <c r="B1025" s="4" t="s">
        <v>13</v>
      </c>
      <c r="C1025" s="4" t="s">
        <v>8</v>
      </c>
      <c r="D1025" s="4" t="s">
        <v>9</v>
      </c>
      <c r="E1025" s="4" t="s">
        <v>18</v>
      </c>
      <c r="F1025" s="4" t="s">
        <v>19</v>
      </c>
      <c r="G1025" s="7">
        <v>12795187147.1507</v>
      </c>
    </row>
    <row ht="12.8" outlineLevel="0" r="1026" s="4" customFormat="1">
      <c r="A1026" s="17">
        <v>43466</v>
      </c>
      <c r="B1026" s="4" t="s">
        <v>32</v>
      </c>
      <c r="C1026" s="4" t="s">
        <v>33</v>
      </c>
      <c r="D1026" s="4" t="s">
        <v>34</v>
      </c>
      <c r="E1026" s="4" t="s">
        <v>18</v>
      </c>
      <c r="F1026" s="4" t="s">
        <v>19</v>
      </c>
      <c r="G1026" s="7">
        <v>2142870.8181</v>
      </c>
    </row>
    <row ht="12.8" outlineLevel="0" r="1027" s="4" customFormat="1">
      <c r="A1027" s="17">
        <v>43466</v>
      </c>
      <c r="B1027" s="4" t="s">
        <v>13</v>
      </c>
      <c r="C1027" s="4" t="s">
        <v>8</v>
      </c>
      <c r="D1027" s="4" t="s">
        <v>9</v>
      </c>
      <c r="E1027" s="4" t="s">
        <v>14</v>
      </c>
      <c r="F1027" s="4" t="s">
        <v>15</v>
      </c>
      <c r="G1027" s="7">
        <v>116706746031.741</v>
      </c>
    </row>
    <row ht="12.8" outlineLevel="0" r="1028" s="4" customFormat="1">
      <c r="A1028" s="17">
        <v>43466</v>
      </c>
      <c r="B1028" s="4" t="s">
        <v>25</v>
      </c>
      <c r="C1028" s="4" t="s">
        <v>23</v>
      </c>
      <c r="D1028" s="4" t="s">
        <v>24</v>
      </c>
      <c r="E1028" s="4" t="s">
        <v>18</v>
      </c>
      <c r="F1028" s="4" t="s">
        <v>19</v>
      </c>
      <c r="G1028" s="7">
        <v>133880288101.68</v>
      </c>
    </row>
    <row ht="12.8" outlineLevel="0" r="1029" s="4" customFormat="1">
      <c r="A1029" s="17">
        <v>43466</v>
      </c>
      <c r="B1029" s="4" t="s">
        <v>29</v>
      </c>
      <c r="C1029" s="4" t="s">
        <v>30</v>
      </c>
      <c r="D1029" s="4" t="s">
        <v>31</v>
      </c>
      <c r="E1029" s="4" t="s">
        <v>16</v>
      </c>
      <c r="F1029" s="4" t="s">
        <v>17</v>
      </c>
      <c r="G1029" s="7">
        <v>71708282881.53</v>
      </c>
    </row>
    <row ht="12.8" outlineLevel="0" r="1030" s="4" customFormat="1">
      <c r="A1030" s="17">
        <v>43466</v>
      </c>
      <c r="B1030" s="4" t="s">
        <v>29</v>
      </c>
      <c r="C1030" s="4" t="s">
        <v>30</v>
      </c>
      <c r="D1030" s="4" t="s">
        <v>31</v>
      </c>
      <c r="E1030" s="4" t="s">
        <v>14</v>
      </c>
      <c r="F1030" s="4" t="s">
        <v>15</v>
      </c>
      <c r="G1030" s="7">
        <v>82258413260.25</v>
      </c>
    </row>
    <row ht="12.8" outlineLevel="0" r="1031" s="4" customFormat="1">
      <c r="A1031" s="17">
        <v>43466</v>
      </c>
      <c r="B1031" s="4" t="s">
        <v>29</v>
      </c>
      <c r="C1031" s="4" t="s">
        <v>30</v>
      </c>
      <c r="D1031" s="4" t="s">
        <v>31</v>
      </c>
      <c r="E1031" s="4" t="s">
        <v>10</v>
      </c>
      <c r="F1031" s="4" t="s">
        <v>11</v>
      </c>
      <c r="G1031" s="7">
        <v>378896007187</v>
      </c>
    </row>
    <row ht="12.8" outlineLevel="0" r="1032" s="4" customFormat="1">
      <c r="A1032" s="17">
        <v>43466</v>
      </c>
      <c r="B1032" s="4" t="s">
        <v>38</v>
      </c>
      <c r="C1032" s="4" t="s">
        <v>39</v>
      </c>
      <c r="D1032" s="4" t="s">
        <v>40</v>
      </c>
      <c r="E1032" s="4" t="s">
        <v>10</v>
      </c>
      <c r="F1032" s="4" t="s">
        <v>11</v>
      </c>
      <c r="G1032" s="7">
        <v>33403505954</v>
      </c>
    </row>
    <row ht="12.8" outlineLevel="0" r="1033" s="4" customFormat="1">
      <c r="A1033" s="17">
        <v>43466</v>
      </c>
      <c r="B1033" s="4" t="s">
        <v>22</v>
      </c>
      <c r="C1033" s="4" t="s">
        <v>23</v>
      </c>
      <c r="D1033" s="4" t="s">
        <v>24</v>
      </c>
      <c r="E1033" s="4" t="s">
        <v>16</v>
      </c>
      <c r="F1033" s="4" t="s">
        <v>17</v>
      </c>
      <c r="G1033" s="7">
        <v>30699738529.81</v>
      </c>
    </row>
    <row ht="12.8" outlineLevel="0" r="1034" s="4" customFormat="1">
      <c r="A1034" s="17">
        <v>43466</v>
      </c>
      <c r="B1034" s="4" t="s">
        <v>22</v>
      </c>
      <c r="C1034" s="4" t="s">
        <v>23</v>
      </c>
      <c r="D1034" s="4" t="s">
        <v>24</v>
      </c>
      <c r="E1034" s="4" t="s">
        <v>14</v>
      </c>
      <c r="F1034" s="4" t="s">
        <v>15</v>
      </c>
      <c r="G1034" s="7">
        <v>31529405345.48</v>
      </c>
    </row>
    <row ht="12.8" outlineLevel="0" r="1035" s="4" customFormat="1">
      <c r="A1035" s="17">
        <v>43466</v>
      </c>
      <c r="B1035" s="4" t="s">
        <v>12</v>
      </c>
      <c r="C1035" s="4" t="s">
        <v>8</v>
      </c>
      <c r="D1035" s="4" t="s">
        <v>9</v>
      </c>
      <c r="E1035" s="4" t="s">
        <v>10</v>
      </c>
      <c r="F1035" s="4" t="s">
        <v>11</v>
      </c>
      <c r="G1035" s="7">
        <v>436146669561</v>
      </c>
    </row>
    <row ht="12.8" outlineLevel="0" r="1036" s="4" customFormat="1">
      <c r="A1036" s="17">
        <v>43466</v>
      </c>
      <c r="B1036" s="4" t="s">
        <v>29</v>
      </c>
      <c r="C1036" s="4" t="s">
        <v>30</v>
      </c>
      <c r="D1036" s="4" t="s">
        <v>31</v>
      </c>
      <c r="E1036" s="4" t="s">
        <v>18</v>
      </c>
      <c r="F1036" s="4" t="s">
        <v>19</v>
      </c>
      <c r="G1036" s="7">
        <v>71708282881.53</v>
      </c>
    </row>
    <row ht="12.8" outlineLevel="0" r="1037" s="4" customFormat="1">
      <c r="A1037" s="17">
        <v>43466</v>
      </c>
      <c r="B1037" s="4" t="s">
        <v>13</v>
      </c>
      <c r="C1037" s="4" t="s">
        <v>8</v>
      </c>
      <c r="D1037" s="4" t="s">
        <v>9</v>
      </c>
      <c r="E1037" s="4" t="s">
        <v>10</v>
      </c>
      <c r="F1037" s="4" t="s">
        <v>11</v>
      </c>
      <c r="G1037" s="7">
        <v>520150465263.19</v>
      </c>
    </row>
    <row ht="12.8" outlineLevel="0" r="1038" s="4" customFormat="1">
      <c r="A1038" s="17">
        <v>43466</v>
      </c>
      <c r="B1038" s="4" t="s">
        <v>26</v>
      </c>
      <c r="C1038" s="4" t="s">
        <v>27</v>
      </c>
      <c r="D1038" s="4" t="s">
        <v>28</v>
      </c>
      <c r="E1038" s="4" t="s">
        <v>18</v>
      </c>
      <c r="F1038" s="4" t="s">
        <v>19</v>
      </c>
      <c r="G1038" s="7">
        <v>11115783591.0407</v>
      </c>
    </row>
    <row ht="12.8" outlineLevel="0" r="1039" s="4" customFormat="1">
      <c r="A1039" s="17">
        <v>43466</v>
      </c>
      <c r="B1039" s="4" t="s">
        <v>26</v>
      </c>
      <c r="C1039" s="4" t="s">
        <v>27</v>
      </c>
      <c r="D1039" s="4" t="s">
        <v>28</v>
      </c>
      <c r="E1039" s="4" t="s">
        <v>16</v>
      </c>
      <c r="F1039" s="4" t="s">
        <v>17</v>
      </c>
      <c r="G1039" s="7">
        <v>27162602717.2507</v>
      </c>
    </row>
    <row ht="12.8" outlineLevel="0" r="1040" s="4" customFormat="1">
      <c r="A1040" s="17">
        <v>43466</v>
      </c>
      <c r="B1040" s="4" t="s">
        <v>7</v>
      </c>
      <c r="C1040" s="4" t="s">
        <v>8</v>
      </c>
      <c r="D1040" s="4" t="s">
        <v>9</v>
      </c>
      <c r="E1040" s="4" t="s">
        <v>14</v>
      </c>
      <c r="F1040" s="4" t="s">
        <v>15</v>
      </c>
      <c r="G1040" s="7">
        <v>259585703910.06</v>
      </c>
    </row>
    <row ht="12.8" outlineLevel="0" r="1041" s="4" customFormat="1">
      <c r="A1041" s="17">
        <v>43466</v>
      </c>
      <c r="B1041" s="4" t="s">
        <v>26</v>
      </c>
      <c r="C1041" s="4" t="s">
        <v>27</v>
      </c>
      <c r="D1041" s="4" t="s">
        <v>28</v>
      </c>
      <c r="E1041" s="4" t="s">
        <v>10</v>
      </c>
      <c r="F1041" s="4" t="s">
        <v>11</v>
      </c>
      <c r="G1041" s="7">
        <v>350435378742</v>
      </c>
    </row>
    <row ht="12.8" outlineLevel="0" r="1042" s="4" customFormat="1">
      <c r="A1042" s="17">
        <v>43466</v>
      </c>
      <c r="B1042" s="4" t="s">
        <v>26</v>
      </c>
      <c r="C1042" s="4" t="s">
        <v>27</v>
      </c>
      <c r="D1042" s="4" t="s">
        <v>28</v>
      </c>
      <c r="E1042" s="4" t="s">
        <v>14</v>
      </c>
      <c r="F1042" s="4" t="s">
        <v>15</v>
      </c>
      <c r="G1042" s="7">
        <v>210644914201.076</v>
      </c>
    </row>
    <row ht="12.8" outlineLevel="0" r="1043" s="4" customFormat="1">
      <c r="A1043" s="17">
        <v>43466</v>
      </c>
      <c r="B1043" s="4" t="s">
        <v>35</v>
      </c>
      <c r="C1043" s="4" t="s">
        <v>36</v>
      </c>
      <c r="D1043" s="4" t="s">
        <v>37</v>
      </c>
      <c r="E1043" s="4" t="s">
        <v>16</v>
      </c>
      <c r="F1043" s="4" t="s">
        <v>17</v>
      </c>
      <c r="G1043" s="7">
        <v>4010454677.69</v>
      </c>
    </row>
    <row ht="12.8" outlineLevel="0" r="1044" s="4" customFormat="1">
      <c r="A1044" s="17">
        <v>43466</v>
      </c>
      <c r="B1044" s="4" t="s">
        <v>35</v>
      </c>
      <c r="C1044" s="4" t="s">
        <v>36</v>
      </c>
      <c r="D1044" s="4" t="s">
        <v>37</v>
      </c>
      <c r="E1044" s="4" t="s">
        <v>10</v>
      </c>
      <c r="F1044" s="4" t="s">
        <v>11</v>
      </c>
      <c r="G1044" s="7">
        <v>93023602033</v>
      </c>
    </row>
    <row ht="12.8" outlineLevel="0" r="1045" s="4" customFormat="1">
      <c r="A1045" s="17">
        <v>43466</v>
      </c>
      <c r="B1045" s="4" t="s">
        <v>35</v>
      </c>
      <c r="C1045" s="4" t="s">
        <v>36</v>
      </c>
      <c r="D1045" s="4" t="s">
        <v>37</v>
      </c>
      <c r="E1045" s="4" t="s">
        <v>14</v>
      </c>
      <c r="F1045" s="4" t="s">
        <v>15</v>
      </c>
      <c r="G1045" s="7">
        <v>42378469157.09</v>
      </c>
    </row>
    <row ht="12.8" outlineLevel="0" r="1046" s="4" customFormat="1">
      <c r="A1046" s="17">
        <v>43466</v>
      </c>
      <c r="B1046" s="4" t="s">
        <v>35</v>
      </c>
      <c r="C1046" s="4" t="s">
        <v>36</v>
      </c>
      <c r="D1046" s="4" t="s">
        <v>37</v>
      </c>
      <c r="E1046" s="4" t="s">
        <v>18</v>
      </c>
      <c r="F1046" s="4" t="s">
        <v>19</v>
      </c>
      <c r="G1046" s="7">
        <v>1509768408.12</v>
      </c>
    </row>
    <row ht="12.8" outlineLevel="0" r="1047" s="4" customFormat="1">
      <c r="A1047" s="17">
        <v>43466</v>
      </c>
      <c r="B1047" s="4" t="s">
        <v>12</v>
      </c>
      <c r="C1047" s="4" t="s">
        <v>8</v>
      </c>
      <c r="D1047" s="4" t="s">
        <v>9</v>
      </c>
      <c r="E1047" s="4" t="s">
        <v>18</v>
      </c>
      <c r="F1047" s="4" t="s">
        <v>19</v>
      </c>
      <c r="G1047" s="7">
        <v>12681399709.07</v>
      </c>
    </row>
    <row ht="12.8" outlineLevel="0" r="1048" s="4" customFormat="1">
      <c r="A1048" s="17">
        <v>43466</v>
      </c>
      <c r="B1048" s="4" t="s">
        <v>32</v>
      </c>
      <c r="C1048" s="4" t="s">
        <v>33</v>
      </c>
      <c r="D1048" s="4" t="s">
        <v>34</v>
      </c>
      <c r="E1048" s="4" t="s">
        <v>10</v>
      </c>
      <c r="F1048" s="4" t="s">
        <v>11</v>
      </c>
      <c r="G1048" s="7">
        <v>36204773083</v>
      </c>
    </row>
    <row ht="12.8" outlineLevel="0" r="1049" s="4" customFormat="1">
      <c r="A1049" s="17">
        <v>43466</v>
      </c>
      <c r="B1049" s="4" t="s">
        <v>12</v>
      </c>
      <c r="C1049" s="4" t="s">
        <v>8</v>
      </c>
      <c r="D1049" s="4" t="s">
        <v>9</v>
      </c>
      <c r="E1049" s="4" t="s">
        <v>14</v>
      </c>
      <c r="F1049" s="4" t="s">
        <v>15</v>
      </c>
      <c r="G1049" s="7">
        <v>404599988465.56</v>
      </c>
    </row>
    <row ht="12.8" outlineLevel="0" r="1050" s="4" customFormat="1">
      <c r="A1050" s="17">
        <v>43466</v>
      </c>
      <c r="B1050" s="4" t="s">
        <v>12</v>
      </c>
      <c r="C1050" s="4" t="s">
        <v>8</v>
      </c>
      <c r="D1050" s="4" t="s">
        <v>9</v>
      </c>
      <c r="E1050" s="4" t="s">
        <v>16</v>
      </c>
      <c r="F1050" s="4" t="s">
        <v>17</v>
      </c>
      <c r="G1050" s="7">
        <v>48414067089.66</v>
      </c>
    </row>
    <row ht="12.8" outlineLevel="0" r="1051" s="4" customFormat="1">
      <c r="A1051" s="17">
        <v>43466</v>
      </c>
      <c r="B1051" s="4" t="s">
        <v>32</v>
      </c>
      <c r="C1051" s="4" t="s">
        <v>33</v>
      </c>
      <c r="D1051" s="4" t="s">
        <v>34</v>
      </c>
      <c r="E1051" s="4" t="s">
        <v>14</v>
      </c>
      <c r="F1051" s="4" t="s">
        <v>15</v>
      </c>
      <c r="G1051" s="7">
        <v>772596073.9847</v>
      </c>
    </row>
    <row ht="12.8" outlineLevel="0" r="1052" s="4" customFormat="1">
      <c r="A1052" s="17">
        <v>43466</v>
      </c>
      <c r="B1052" s="4" t="s">
        <v>7</v>
      </c>
      <c r="C1052" s="4" t="s">
        <v>8</v>
      </c>
      <c r="D1052" s="4" t="s">
        <v>9</v>
      </c>
      <c r="E1052" s="4" t="s">
        <v>18</v>
      </c>
      <c r="F1052" s="4" t="s">
        <v>19</v>
      </c>
      <c r="G1052" s="7">
        <v>22508254828.71</v>
      </c>
    </row>
    <row ht="12.8" outlineLevel="0" r="1053" s="4" customFormat="1">
      <c r="A1053" s="17">
        <v>43466</v>
      </c>
      <c r="B1053" s="4" t="s">
        <v>7</v>
      </c>
      <c r="C1053" s="4" t="s">
        <v>8</v>
      </c>
      <c r="D1053" s="4" t="s">
        <v>9</v>
      </c>
      <c r="E1053" s="4" t="s">
        <v>16</v>
      </c>
      <c r="F1053" s="4" t="s">
        <v>17</v>
      </c>
      <c r="G1053" s="7">
        <v>22509040521.44</v>
      </c>
    </row>
    <row ht="12.8" outlineLevel="0" r="1054" s="4" customFormat="1">
      <c r="A1054" s="17">
        <v>43466</v>
      </c>
      <c r="B1054" s="4" t="s">
        <v>32</v>
      </c>
      <c r="C1054" s="4" t="s">
        <v>33</v>
      </c>
      <c r="D1054" s="4" t="s">
        <v>34</v>
      </c>
      <c r="E1054" s="4" t="s">
        <v>16</v>
      </c>
      <c r="F1054" s="4" t="s">
        <v>17</v>
      </c>
      <c r="G1054" s="7">
        <v>54651405.3081</v>
      </c>
    </row>
    <row ht="12.8" outlineLevel="0" r="1055" s="4" customFormat="1">
      <c r="A1055" s="17">
        <v>43466</v>
      </c>
      <c r="B1055" s="4" t="s">
        <v>7</v>
      </c>
      <c r="C1055" s="4" t="s">
        <v>8</v>
      </c>
      <c r="D1055" s="4" t="s">
        <v>9</v>
      </c>
      <c r="E1055" s="4" t="s">
        <v>10</v>
      </c>
      <c r="F1055" s="4" t="s">
        <v>11</v>
      </c>
      <c r="G1055" s="7">
        <v>367999797842.91</v>
      </c>
    </row>
    <row ht="12.8" outlineLevel="0" r="1056" s="4" customFormat="1">
      <c r="A1056" s="17">
        <v>43435</v>
      </c>
      <c r="B1056" s="4" t="s">
        <v>32</v>
      </c>
      <c r="C1056" s="4" t="s">
        <v>33</v>
      </c>
      <c r="D1056" s="4" t="s">
        <v>34</v>
      </c>
      <c r="E1056" s="4" t="s">
        <v>14</v>
      </c>
      <c r="F1056" s="4" t="s">
        <v>15</v>
      </c>
      <c r="G1056" s="7">
        <v>44103817128.9321</v>
      </c>
    </row>
    <row ht="12.8" outlineLevel="0" r="1057" s="4" customFormat="1">
      <c r="A1057" s="17">
        <v>43435</v>
      </c>
      <c r="B1057" s="4" t="s">
        <v>35</v>
      </c>
      <c r="C1057" s="4" t="s">
        <v>36</v>
      </c>
      <c r="D1057" s="4" t="s">
        <v>37</v>
      </c>
      <c r="E1057" s="4" t="s">
        <v>14</v>
      </c>
      <c r="F1057" s="4" t="s">
        <v>15</v>
      </c>
      <c r="G1057" s="7">
        <v>73641246723.74</v>
      </c>
    </row>
    <row ht="12.8" outlineLevel="0" r="1058" s="4" customFormat="1">
      <c r="A1058" s="17">
        <v>43435</v>
      </c>
      <c r="B1058" s="4" t="s">
        <v>13</v>
      </c>
      <c r="C1058" s="4" t="s">
        <v>8</v>
      </c>
      <c r="D1058" s="4" t="s">
        <v>9</v>
      </c>
      <c r="E1058" s="4" t="s">
        <v>14</v>
      </c>
      <c r="F1058" s="4" t="s">
        <v>15</v>
      </c>
      <c r="G1058" s="7">
        <v>315844163550.269</v>
      </c>
    </row>
    <row ht="12.8" outlineLevel="0" r="1059" s="4" customFormat="1">
      <c r="A1059" s="17">
        <v>43435</v>
      </c>
      <c r="B1059" s="4" t="s">
        <v>7</v>
      </c>
      <c r="C1059" s="4" t="s">
        <v>8</v>
      </c>
      <c r="D1059" s="4" t="s">
        <v>9</v>
      </c>
      <c r="E1059" s="4" t="s">
        <v>14</v>
      </c>
      <c r="F1059" s="4" t="s">
        <v>15</v>
      </c>
      <c r="G1059" s="7">
        <v>350488933582.27</v>
      </c>
    </row>
    <row ht="12.8" outlineLevel="0" r="1060" s="4" customFormat="1">
      <c r="A1060" s="17">
        <v>43435</v>
      </c>
      <c r="B1060" s="4" t="s">
        <v>12</v>
      </c>
      <c r="C1060" s="4" t="s">
        <v>8</v>
      </c>
      <c r="D1060" s="4" t="s">
        <v>9</v>
      </c>
      <c r="E1060" s="4" t="s">
        <v>14</v>
      </c>
      <c r="F1060" s="4" t="s">
        <v>15</v>
      </c>
      <c r="G1060" s="7">
        <v>589512727031.15</v>
      </c>
    </row>
    <row ht="12.8" outlineLevel="0" r="1061" s="4" customFormat="1">
      <c r="A1061" s="17">
        <v>43435</v>
      </c>
      <c r="B1061" s="4" t="s">
        <v>22</v>
      </c>
      <c r="C1061" s="4" t="s">
        <v>23</v>
      </c>
      <c r="D1061" s="4" t="s">
        <v>24</v>
      </c>
      <c r="E1061" s="4" t="s">
        <v>14</v>
      </c>
      <c r="F1061" s="4" t="s">
        <v>15</v>
      </c>
      <c r="G1061" s="7">
        <v>336163357650.48</v>
      </c>
    </row>
    <row ht="12.8" outlineLevel="0" r="1062" s="4" customFormat="1">
      <c r="A1062" s="17">
        <v>43435</v>
      </c>
      <c r="B1062" s="4" t="s">
        <v>7</v>
      </c>
      <c r="C1062" s="4" t="s">
        <v>8</v>
      </c>
      <c r="D1062" s="4" t="s">
        <v>9</v>
      </c>
      <c r="E1062" s="4" t="s">
        <v>16</v>
      </c>
      <c r="F1062" s="4" t="s">
        <v>17</v>
      </c>
      <c r="G1062" s="7">
        <v>340384625504.63</v>
      </c>
    </row>
    <row ht="12.8" outlineLevel="0" r="1063" s="4" customFormat="1">
      <c r="A1063" s="17">
        <v>43435</v>
      </c>
      <c r="B1063" s="4" t="s">
        <v>12</v>
      </c>
      <c r="C1063" s="4" t="s">
        <v>8</v>
      </c>
      <c r="D1063" s="4" t="s">
        <v>9</v>
      </c>
      <c r="E1063" s="4" t="s">
        <v>16</v>
      </c>
      <c r="F1063" s="4" t="s">
        <v>17</v>
      </c>
      <c r="G1063" s="7">
        <v>587713565199.93</v>
      </c>
    </row>
    <row ht="12.8" outlineLevel="0" r="1064" s="4" customFormat="1">
      <c r="A1064" s="17">
        <v>43435</v>
      </c>
      <c r="B1064" s="4" t="s">
        <v>29</v>
      </c>
      <c r="C1064" s="4" t="s">
        <v>30</v>
      </c>
      <c r="D1064" s="4" t="s">
        <v>31</v>
      </c>
      <c r="E1064" s="4" t="s">
        <v>16</v>
      </c>
      <c r="F1064" s="4" t="s">
        <v>17</v>
      </c>
      <c r="G1064" s="7">
        <v>279373555248.54</v>
      </c>
    </row>
    <row ht="12.8" outlineLevel="0" r="1065" s="4" customFormat="1">
      <c r="A1065" s="17">
        <v>43435</v>
      </c>
      <c r="B1065" s="4" t="s">
        <v>25</v>
      </c>
      <c r="C1065" s="4" t="s">
        <v>23</v>
      </c>
      <c r="D1065" s="4" t="s">
        <v>24</v>
      </c>
      <c r="E1065" s="4" t="s">
        <v>14</v>
      </c>
      <c r="F1065" s="4" t="s">
        <v>15</v>
      </c>
      <c r="G1065" s="7">
        <v>450238738588.69</v>
      </c>
    </row>
    <row ht="12.8" outlineLevel="0" r="1066" s="4" customFormat="1">
      <c r="A1066" s="17">
        <v>43435</v>
      </c>
      <c r="B1066" s="4" t="s">
        <v>26</v>
      </c>
      <c r="C1066" s="4" t="s">
        <v>27</v>
      </c>
      <c r="D1066" s="4" t="s">
        <v>28</v>
      </c>
      <c r="E1066" s="4" t="s">
        <v>16</v>
      </c>
      <c r="F1066" s="4" t="s">
        <v>17</v>
      </c>
      <c r="G1066" s="7">
        <v>316688492100.694</v>
      </c>
    </row>
    <row ht="12.8" outlineLevel="0" r="1067" s="4" customFormat="1">
      <c r="A1067" s="17">
        <v>43435</v>
      </c>
      <c r="B1067" s="4" t="s">
        <v>29</v>
      </c>
      <c r="C1067" s="4" t="s">
        <v>30</v>
      </c>
      <c r="D1067" s="4" t="s">
        <v>31</v>
      </c>
      <c r="E1067" s="4" t="s">
        <v>14</v>
      </c>
      <c r="F1067" s="4" t="s">
        <v>15</v>
      </c>
      <c r="G1067" s="7">
        <v>279593978183.52</v>
      </c>
    </row>
    <row ht="12.8" outlineLevel="0" r="1068" s="4" customFormat="1">
      <c r="A1068" s="17">
        <v>43435</v>
      </c>
      <c r="B1068" s="4" t="s">
        <v>12</v>
      </c>
      <c r="C1068" s="4" t="s">
        <v>8</v>
      </c>
      <c r="D1068" s="4" t="s">
        <v>9</v>
      </c>
      <c r="E1068" s="4" t="s">
        <v>10</v>
      </c>
      <c r="F1068" s="4" t="s">
        <v>11</v>
      </c>
      <c r="G1068" s="7">
        <v>591452690969</v>
      </c>
    </row>
    <row ht="12.8" outlineLevel="0" r="1069" s="4" customFormat="1">
      <c r="A1069" s="17">
        <v>43435</v>
      </c>
      <c r="B1069" s="4" t="s">
        <v>13</v>
      </c>
      <c r="C1069" s="4" t="s">
        <v>8</v>
      </c>
      <c r="D1069" s="4" t="s">
        <v>9</v>
      </c>
      <c r="E1069" s="4" t="s">
        <v>10</v>
      </c>
      <c r="F1069" s="4" t="s">
        <v>11</v>
      </c>
      <c r="G1069" s="7">
        <v>325505081424.24</v>
      </c>
    </row>
    <row ht="12.8" outlineLevel="0" r="1070" s="4" customFormat="1">
      <c r="A1070" s="17">
        <v>43435</v>
      </c>
      <c r="B1070" s="4" t="s">
        <v>7</v>
      </c>
      <c r="C1070" s="4" t="s">
        <v>8</v>
      </c>
      <c r="D1070" s="4" t="s">
        <v>9</v>
      </c>
      <c r="E1070" s="4" t="s">
        <v>10</v>
      </c>
      <c r="F1070" s="4" t="s">
        <v>11</v>
      </c>
      <c r="G1070" s="7">
        <v>352555577459.25</v>
      </c>
    </row>
    <row ht="12.8" outlineLevel="0" r="1071" s="4" customFormat="1">
      <c r="A1071" s="17">
        <v>43435</v>
      </c>
      <c r="B1071" s="4" t="s">
        <v>26</v>
      </c>
      <c r="C1071" s="4" t="s">
        <v>27</v>
      </c>
      <c r="D1071" s="4" t="s">
        <v>28</v>
      </c>
      <c r="E1071" s="4" t="s">
        <v>10</v>
      </c>
      <c r="F1071" s="4" t="s">
        <v>11</v>
      </c>
      <c r="G1071" s="7">
        <v>328744947812</v>
      </c>
    </row>
    <row ht="12.8" outlineLevel="0" r="1072" s="4" customFormat="1">
      <c r="A1072" s="17">
        <v>43435</v>
      </c>
      <c r="B1072" s="4" t="s">
        <v>29</v>
      </c>
      <c r="C1072" s="4" t="s">
        <v>30</v>
      </c>
      <c r="D1072" s="4" t="s">
        <v>31</v>
      </c>
      <c r="E1072" s="4" t="s">
        <v>10</v>
      </c>
      <c r="F1072" s="4" t="s">
        <v>11</v>
      </c>
      <c r="G1072" s="7">
        <v>366262995584</v>
      </c>
    </row>
    <row ht="12.8" outlineLevel="0" r="1073" s="4" customFormat="1">
      <c r="A1073" s="17">
        <v>43435</v>
      </c>
      <c r="B1073" s="4" t="s">
        <v>32</v>
      </c>
      <c r="C1073" s="4" t="s">
        <v>33</v>
      </c>
      <c r="D1073" s="4" t="s">
        <v>34</v>
      </c>
      <c r="E1073" s="4" t="s">
        <v>10</v>
      </c>
      <c r="F1073" s="4" t="s">
        <v>11</v>
      </c>
      <c r="G1073" s="7">
        <v>45737713977.94</v>
      </c>
    </row>
    <row ht="12.8" outlineLevel="0" r="1074" s="4" customFormat="1">
      <c r="A1074" s="17">
        <v>43435</v>
      </c>
      <c r="B1074" s="4" t="s">
        <v>38</v>
      </c>
      <c r="C1074" s="4" t="s">
        <v>39</v>
      </c>
      <c r="D1074" s="4" t="s">
        <v>40</v>
      </c>
      <c r="E1074" s="4" t="s">
        <v>10</v>
      </c>
      <c r="F1074" s="4" t="s">
        <v>11</v>
      </c>
      <c r="G1074" s="7">
        <v>19787653421</v>
      </c>
    </row>
    <row ht="12.8" outlineLevel="0" r="1075" s="4" customFormat="1">
      <c r="A1075" s="17">
        <v>43435</v>
      </c>
      <c r="B1075" s="4" t="s">
        <v>26</v>
      </c>
      <c r="C1075" s="4" t="s">
        <v>27</v>
      </c>
      <c r="D1075" s="4" t="s">
        <v>28</v>
      </c>
      <c r="E1075" s="4" t="s">
        <v>14</v>
      </c>
      <c r="F1075" s="4" t="s">
        <v>15</v>
      </c>
      <c r="G1075" s="7">
        <v>317778965334.814</v>
      </c>
    </row>
    <row ht="12.8" outlineLevel="0" r="1076" s="4" customFormat="1">
      <c r="A1076" s="17">
        <v>43435</v>
      </c>
      <c r="B1076" s="4" t="s">
        <v>25</v>
      </c>
      <c r="C1076" s="4" t="s">
        <v>23</v>
      </c>
      <c r="D1076" s="4" t="s">
        <v>24</v>
      </c>
      <c r="E1076" s="4" t="s">
        <v>10</v>
      </c>
      <c r="F1076" s="4" t="s">
        <v>11</v>
      </c>
      <c r="G1076" s="7">
        <v>1042334992230.31</v>
      </c>
    </row>
    <row ht="12.8" outlineLevel="0" r="1077" s="4" customFormat="1">
      <c r="A1077" s="17">
        <v>43435</v>
      </c>
      <c r="B1077" s="4" t="s">
        <v>35</v>
      </c>
      <c r="C1077" s="4" t="s">
        <v>36</v>
      </c>
      <c r="D1077" s="4" t="s">
        <v>37</v>
      </c>
      <c r="E1077" s="4" t="s">
        <v>10</v>
      </c>
      <c r="F1077" s="4" t="s">
        <v>11</v>
      </c>
      <c r="G1077" s="7">
        <v>84546158764</v>
      </c>
    </row>
    <row ht="12.8" outlineLevel="0" r="1078" s="4" customFormat="1">
      <c r="A1078" s="17">
        <v>43435</v>
      </c>
      <c r="B1078" s="4" t="s">
        <v>22</v>
      </c>
      <c r="C1078" s="4" t="s">
        <v>23</v>
      </c>
      <c r="D1078" s="4" t="s">
        <v>24</v>
      </c>
      <c r="E1078" s="4" t="s">
        <v>10</v>
      </c>
      <c r="F1078" s="4" t="s">
        <v>11</v>
      </c>
      <c r="G1078" s="7">
        <v>370290936212.69</v>
      </c>
    </row>
    <row ht="12.8" outlineLevel="0" r="1079" s="4" customFormat="1">
      <c r="A1079" s="17">
        <v>43435</v>
      </c>
      <c r="B1079" s="4" t="s">
        <v>29</v>
      </c>
      <c r="C1079" s="4" t="s">
        <v>30</v>
      </c>
      <c r="D1079" s="4" t="s">
        <v>31</v>
      </c>
      <c r="E1079" s="4" t="s">
        <v>18</v>
      </c>
      <c r="F1079" s="4" t="s">
        <v>19</v>
      </c>
      <c r="G1079" s="7">
        <v>279373243880.66</v>
      </c>
    </row>
    <row ht="12.8" outlineLevel="0" r="1080" s="4" customFormat="1">
      <c r="A1080" s="17">
        <v>43435</v>
      </c>
      <c r="B1080" s="4" t="s">
        <v>7</v>
      </c>
      <c r="C1080" s="4" t="s">
        <v>8</v>
      </c>
      <c r="D1080" s="4" t="s">
        <v>9</v>
      </c>
      <c r="E1080" s="4" t="s">
        <v>18</v>
      </c>
      <c r="F1080" s="4" t="s">
        <v>19</v>
      </c>
      <c r="G1080" s="7">
        <v>340353069129.71</v>
      </c>
    </row>
    <row ht="12.8" outlineLevel="0" r="1081" s="4" customFormat="1">
      <c r="A1081" s="17">
        <v>43435</v>
      </c>
      <c r="B1081" s="4" t="s">
        <v>26</v>
      </c>
      <c r="C1081" s="4" t="s">
        <v>27</v>
      </c>
      <c r="D1081" s="4" t="s">
        <v>28</v>
      </c>
      <c r="E1081" s="4" t="s">
        <v>18</v>
      </c>
      <c r="F1081" s="4" t="s">
        <v>19</v>
      </c>
      <c r="G1081" s="7">
        <v>300414615045.914</v>
      </c>
    </row>
    <row ht="12.8" outlineLevel="0" r="1082" s="4" customFormat="1">
      <c r="A1082" s="17">
        <v>43435</v>
      </c>
      <c r="B1082" s="4" t="s">
        <v>22</v>
      </c>
      <c r="C1082" s="4" t="s">
        <v>23</v>
      </c>
      <c r="D1082" s="4" t="s">
        <v>24</v>
      </c>
      <c r="E1082" s="4" t="s">
        <v>20</v>
      </c>
      <c r="F1082" s="4" t="s">
        <v>21</v>
      </c>
      <c r="G1082" s="7">
        <v>2404458.3</v>
      </c>
    </row>
    <row ht="12.8" outlineLevel="0" r="1083" s="4" customFormat="1">
      <c r="A1083" s="17">
        <v>43435</v>
      </c>
      <c r="B1083" s="4" t="s">
        <v>25</v>
      </c>
      <c r="C1083" s="4" t="s">
        <v>23</v>
      </c>
      <c r="D1083" s="4" t="s">
        <v>24</v>
      </c>
      <c r="E1083" s="4" t="s">
        <v>20</v>
      </c>
      <c r="F1083" s="4" t="s">
        <v>21</v>
      </c>
      <c r="G1083" s="7">
        <v>40409000</v>
      </c>
    </row>
    <row ht="12.8" outlineLevel="0" r="1084" s="4" customFormat="1">
      <c r="A1084" s="17">
        <v>43435</v>
      </c>
      <c r="B1084" s="4" t="s">
        <v>12</v>
      </c>
      <c r="C1084" s="4" t="s">
        <v>8</v>
      </c>
      <c r="D1084" s="4" t="s">
        <v>9</v>
      </c>
      <c r="E1084" s="4" t="s">
        <v>18</v>
      </c>
      <c r="F1084" s="4" t="s">
        <v>19</v>
      </c>
      <c r="G1084" s="7">
        <v>554552718402.37</v>
      </c>
    </row>
    <row ht="12.8" outlineLevel="0" r="1085" s="4" customFormat="1">
      <c r="A1085" s="17">
        <v>43435</v>
      </c>
      <c r="B1085" s="4" t="s">
        <v>22</v>
      </c>
      <c r="C1085" s="4" t="s">
        <v>23</v>
      </c>
      <c r="D1085" s="4" t="s">
        <v>24</v>
      </c>
      <c r="E1085" s="4" t="s">
        <v>18</v>
      </c>
      <c r="F1085" s="4" t="s">
        <v>19</v>
      </c>
      <c r="G1085" s="7">
        <v>336153728203.26</v>
      </c>
    </row>
    <row ht="12.8" outlineLevel="0" r="1086" s="4" customFormat="1">
      <c r="A1086" s="17">
        <v>43435</v>
      </c>
      <c r="B1086" s="4" t="s">
        <v>25</v>
      </c>
      <c r="C1086" s="4" t="s">
        <v>23</v>
      </c>
      <c r="D1086" s="4" t="s">
        <v>24</v>
      </c>
      <c r="E1086" s="4" t="s">
        <v>18</v>
      </c>
      <c r="F1086" s="4" t="s">
        <v>19</v>
      </c>
      <c r="G1086" s="7">
        <v>450198329588.69</v>
      </c>
    </row>
    <row ht="12.8" outlineLevel="0" r="1087" s="4" customFormat="1">
      <c r="A1087" s="17">
        <v>43435</v>
      </c>
      <c r="B1087" s="4" t="s">
        <v>35</v>
      </c>
      <c r="C1087" s="4" t="s">
        <v>36</v>
      </c>
      <c r="D1087" s="4" t="s">
        <v>37</v>
      </c>
      <c r="E1087" s="4" t="s">
        <v>18</v>
      </c>
      <c r="F1087" s="4" t="s">
        <v>19</v>
      </c>
      <c r="G1087" s="7">
        <v>62591761391.01</v>
      </c>
    </row>
    <row ht="12.8" outlineLevel="0" r="1088" s="4" customFormat="1">
      <c r="A1088" s="17">
        <v>43435</v>
      </c>
      <c r="B1088" s="4" t="s">
        <v>13</v>
      </c>
      <c r="C1088" s="4" t="s">
        <v>8</v>
      </c>
      <c r="D1088" s="4" t="s">
        <v>9</v>
      </c>
      <c r="E1088" s="4" t="s">
        <v>18</v>
      </c>
      <c r="F1088" s="4" t="s">
        <v>19</v>
      </c>
      <c r="G1088" s="7">
        <v>277728849356.482</v>
      </c>
    </row>
    <row ht="12.8" outlineLevel="0" r="1089" s="4" customFormat="1">
      <c r="A1089" s="17">
        <v>43435</v>
      </c>
      <c r="B1089" s="4" t="s">
        <v>32</v>
      </c>
      <c r="C1089" s="4" t="s">
        <v>33</v>
      </c>
      <c r="D1089" s="4" t="s">
        <v>34</v>
      </c>
      <c r="E1089" s="4" t="s">
        <v>18</v>
      </c>
      <c r="F1089" s="4" t="s">
        <v>19</v>
      </c>
      <c r="G1089" s="7">
        <v>19494430393.3453</v>
      </c>
    </row>
    <row ht="12.8" outlineLevel="0" r="1090" s="4" customFormat="1">
      <c r="A1090" s="17">
        <v>43435</v>
      </c>
      <c r="B1090" s="4" t="s">
        <v>35</v>
      </c>
      <c r="C1090" s="4" t="s">
        <v>36</v>
      </c>
      <c r="D1090" s="4" t="s">
        <v>37</v>
      </c>
      <c r="E1090" s="4" t="s">
        <v>20</v>
      </c>
      <c r="F1090" s="4" t="s">
        <v>21</v>
      </c>
      <c r="G1090" s="7">
        <v>10628790867.68</v>
      </c>
    </row>
    <row ht="12.8" outlineLevel="0" r="1091" s="4" customFormat="1">
      <c r="A1091" s="17">
        <v>43435</v>
      </c>
      <c r="B1091" s="4" t="s">
        <v>22</v>
      </c>
      <c r="C1091" s="4" t="s">
        <v>23</v>
      </c>
      <c r="D1091" s="4" t="s">
        <v>24</v>
      </c>
      <c r="E1091" s="4" t="s">
        <v>16</v>
      </c>
      <c r="F1091" s="4" t="s">
        <v>17</v>
      </c>
      <c r="G1091" s="7">
        <v>336160953192.18</v>
      </c>
    </row>
    <row ht="12.8" outlineLevel="0" r="1092" s="4" customFormat="1">
      <c r="A1092" s="17">
        <v>43435</v>
      </c>
      <c r="B1092" s="4" t="s">
        <v>25</v>
      </c>
      <c r="C1092" s="4" t="s">
        <v>23</v>
      </c>
      <c r="D1092" s="4" t="s">
        <v>24</v>
      </c>
      <c r="E1092" s="4" t="s">
        <v>16</v>
      </c>
      <c r="F1092" s="4" t="s">
        <v>17</v>
      </c>
      <c r="G1092" s="7">
        <v>450198329588.69</v>
      </c>
    </row>
    <row ht="12.8" outlineLevel="0" r="1093" s="4" customFormat="1">
      <c r="A1093" s="17">
        <v>43435</v>
      </c>
      <c r="B1093" s="4" t="s">
        <v>35</v>
      </c>
      <c r="C1093" s="4" t="s">
        <v>36</v>
      </c>
      <c r="D1093" s="4" t="s">
        <v>37</v>
      </c>
      <c r="E1093" s="4" t="s">
        <v>16</v>
      </c>
      <c r="F1093" s="4" t="s">
        <v>17</v>
      </c>
      <c r="G1093" s="7">
        <v>63012455856.06</v>
      </c>
    </row>
    <row ht="12.8" outlineLevel="0" r="1094" s="4" customFormat="1">
      <c r="A1094" s="17">
        <v>43435</v>
      </c>
      <c r="B1094" s="4" t="s">
        <v>13</v>
      </c>
      <c r="C1094" s="4" t="s">
        <v>8</v>
      </c>
      <c r="D1094" s="4" t="s">
        <v>9</v>
      </c>
      <c r="E1094" s="4" t="s">
        <v>16</v>
      </c>
      <c r="F1094" s="4" t="s">
        <v>17</v>
      </c>
      <c r="G1094" s="7">
        <v>282492437306.566</v>
      </c>
    </row>
    <row ht="12.8" outlineLevel="0" r="1095" s="4" customFormat="1">
      <c r="A1095" s="17">
        <v>43435</v>
      </c>
      <c r="B1095" s="4" t="s">
        <v>32</v>
      </c>
      <c r="C1095" s="4" t="s">
        <v>33</v>
      </c>
      <c r="D1095" s="4" t="s">
        <v>34</v>
      </c>
      <c r="E1095" s="4" t="s">
        <v>16</v>
      </c>
      <c r="F1095" s="4" t="s">
        <v>17</v>
      </c>
      <c r="G1095" s="7">
        <v>20228773427.7403</v>
      </c>
    </row>
    <row ht="12.8" outlineLevel="0" r="1096" s="4" customFormat="1">
      <c r="A1096" s="17">
        <v>43435</v>
      </c>
      <c r="B1096" s="4" t="s">
        <v>26</v>
      </c>
      <c r="C1096" s="4" t="s">
        <v>27</v>
      </c>
      <c r="D1096" s="4" t="s">
        <v>28</v>
      </c>
      <c r="E1096" s="4" t="s">
        <v>20</v>
      </c>
      <c r="F1096" s="4" t="s">
        <v>21</v>
      </c>
      <c r="G1096" s="7">
        <v>1090473234.12</v>
      </c>
    </row>
    <row ht="12.8" outlineLevel="0" r="1097" s="4" customFormat="1">
      <c r="A1097" s="17">
        <v>43435</v>
      </c>
      <c r="B1097" s="4" t="s">
        <v>13</v>
      </c>
      <c r="C1097" s="4" t="s">
        <v>8</v>
      </c>
      <c r="D1097" s="4" t="s">
        <v>9</v>
      </c>
      <c r="E1097" s="4" t="s">
        <v>20</v>
      </c>
      <c r="F1097" s="4" t="s">
        <v>21</v>
      </c>
      <c r="G1097" s="7">
        <v>33351726243.7029</v>
      </c>
    </row>
    <row ht="12.8" outlineLevel="0" r="1098" s="4" customFormat="1">
      <c r="A1098" s="17">
        <v>43435</v>
      </c>
      <c r="B1098" s="4" t="s">
        <v>32</v>
      </c>
      <c r="C1098" s="4" t="s">
        <v>33</v>
      </c>
      <c r="D1098" s="4" t="s">
        <v>34</v>
      </c>
      <c r="E1098" s="4" t="s">
        <v>20</v>
      </c>
      <c r="F1098" s="4" t="s">
        <v>21</v>
      </c>
      <c r="G1098" s="7">
        <v>23875043701.1918</v>
      </c>
    </row>
    <row ht="12.8" outlineLevel="0" r="1099" s="4" customFormat="1">
      <c r="A1099" s="17">
        <v>43435</v>
      </c>
      <c r="B1099" s="4" t="s">
        <v>12</v>
      </c>
      <c r="C1099" s="4" t="s">
        <v>8</v>
      </c>
      <c r="D1099" s="4" t="s">
        <v>9</v>
      </c>
      <c r="E1099" s="4" t="s">
        <v>20</v>
      </c>
      <c r="F1099" s="4" t="s">
        <v>21</v>
      </c>
      <c r="G1099" s="7">
        <v>1799161831.22</v>
      </c>
    </row>
    <row ht="12.8" outlineLevel="0" r="1100" s="4" customFormat="1">
      <c r="A1100" s="17">
        <v>43435</v>
      </c>
      <c r="B1100" s="4" t="s">
        <v>29</v>
      </c>
      <c r="C1100" s="4" t="s">
        <v>30</v>
      </c>
      <c r="D1100" s="4" t="s">
        <v>31</v>
      </c>
      <c r="E1100" s="4" t="s">
        <v>20</v>
      </c>
      <c r="F1100" s="4" t="s">
        <v>21</v>
      </c>
      <c r="G1100" s="7">
        <v>220422934.98</v>
      </c>
    </row>
    <row ht="12.8" outlineLevel="0" r="1101" s="4" customFormat="1">
      <c r="A1101" s="17">
        <v>43435</v>
      </c>
      <c r="B1101" s="4" t="s">
        <v>7</v>
      </c>
      <c r="C1101" s="4" t="s">
        <v>8</v>
      </c>
      <c r="D1101" s="4" t="s">
        <v>9</v>
      </c>
      <c r="E1101" s="4" t="s">
        <v>20</v>
      </c>
      <c r="F1101" s="4" t="s">
        <v>21</v>
      </c>
      <c r="G1101" s="7">
        <v>10104308077.64</v>
      </c>
    </row>
    <row ht="12.8" outlineLevel="0" r="1102" s="4" customFormat="1">
      <c r="A1102" s="17">
        <v>43405</v>
      </c>
      <c r="B1102" s="4" t="s">
        <v>29</v>
      </c>
      <c r="C1102" s="4" t="s">
        <v>30</v>
      </c>
      <c r="D1102" s="4" t="s">
        <v>31</v>
      </c>
      <c r="E1102" s="4" t="s">
        <v>14</v>
      </c>
      <c r="F1102" s="4" t="s">
        <v>15</v>
      </c>
      <c r="G1102" s="7">
        <v>349466212598.8</v>
      </c>
    </row>
    <row ht="12.8" outlineLevel="0" r="1103" s="4" customFormat="1">
      <c r="A1103" s="17">
        <v>43405</v>
      </c>
      <c r="B1103" s="4" t="s">
        <v>7</v>
      </c>
      <c r="C1103" s="4" t="s">
        <v>8</v>
      </c>
      <c r="D1103" s="4" t="s">
        <v>9</v>
      </c>
      <c r="E1103" s="4" t="s">
        <v>14</v>
      </c>
      <c r="F1103" s="4" t="s">
        <v>15</v>
      </c>
      <c r="G1103" s="7">
        <v>343326710335.74</v>
      </c>
    </row>
    <row ht="12.8" outlineLevel="0" r="1104" s="4" customFormat="1">
      <c r="A1104" s="17">
        <v>43405</v>
      </c>
      <c r="B1104" s="4" t="s">
        <v>38</v>
      </c>
      <c r="C1104" s="4" t="s">
        <v>39</v>
      </c>
      <c r="D1104" s="4" t="s">
        <v>40</v>
      </c>
      <c r="E1104" s="4" t="s">
        <v>10</v>
      </c>
      <c r="F1104" s="4" t="s">
        <v>11</v>
      </c>
      <c r="G1104" s="7">
        <v>19787653421</v>
      </c>
    </row>
    <row ht="12.8" outlineLevel="0" r="1105" s="4" customFormat="1">
      <c r="A1105" s="17">
        <v>43405</v>
      </c>
      <c r="B1105" s="4" t="s">
        <v>26</v>
      </c>
      <c r="C1105" s="4" t="s">
        <v>27</v>
      </c>
      <c r="D1105" s="4" t="s">
        <v>28</v>
      </c>
      <c r="E1105" s="4" t="s">
        <v>14</v>
      </c>
      <c r="F1105" s="4" t="s">
        <v>15</v>
      </c>
      <c r="G1105" s="7">
        <v>311650789210.667</v>
      </c>
    </row>
    <row ht="12.8" outlineLevel="0" r="1106" s="4" customFormat="1">
      <c r="A1106" s="17">
        <v>43405</v>
      </c>
      <c r="B1106" s="4" t="s">
        <v>12</v>
      </c>
      <c r="C1106" s="4" t="s">
        <v>8</v>
      </c>
      <c r="D1106" s="4" t="s">
        <v>9</v>
      </c>
      <c r="E1106" s="4" t="s">
        <v>14</v>
      </c>
      <c r="F1106" s="4" t="s">
        <v>15</v>
      </c>
      <c r="G1106" s="7">
        <v>584746056381.09</v>
      </c>
    </row>
    <row ht="12.8" outlineLevel="0" r="1107" s="4" customFormat="1">
      <c r="A1107" s="17">
        <v>43405</v>
      </c>
      <c r="B1107" s="4" t="s">
        <v>35</v>
      </c>
      <c r="C1107" s="4" t="s">
        <v>36</v>
      </c>
      <c r="D1107" s="4" t="s">
        <v>37</v>
      </c>
      <c r="E1107" s="4" t="s">
        <v>14</v>
      </c>
      <c r="F1107" s="4" t="s">
        <v>15</v>
      </c>
      <c r="G1107" s="7">
        <v>67847714694.26</v>
      </c>
    </row>
    <row ht="12.8" outlineLevel="0" r="1108" s="4" customFormat="1">
      <c r="A1108" s="17">
        <v>43405</v>
      </c>
      <c r="B1108" s="4" t="s">
        <v>22</v>
      </c>
      <c r="C1108" s="4" t="s">
        <v>23</v>
      </c>
      <c r="D1108" s="4" t="s">
        <v>24</v>
      </c>
      <c r="E1108" s="4" t="s">
        <v>14</v>
      </c>
      <c r="F1108" s="4" t="s">
        <v>15</v>
      </c>
      <c r="G1108" s="7">
        <v>343193464415.77</v>
      </c>
    </row>
    <row ht="12.8" outlineLevel="0" r="1109" s="4" customFormat="1">
      <c r="A1109" s="17">
        <v>43405</v>
      </c>
      <c r="B1109" s="4" t="s">
        <v>13</v>
      </c>
      <c r="C1109" s="4" t="s">
        <v>8</v>
      </c>
      <c r="D1109" s="4" t="s">
        <v>9</v>
      </c>
      <c r="E1109" s="4" t="s">
        <v>14</v>
      </c>
      <c r="F1109" s="4" t="s">
        <v>15</v>
      </c>
      <c r="G1109" s="7">
        <v>304794997002.427</v>
      </c>
    </row>
    <row ht="12.8" outlineLevel="0" r="1110" s="4" customFormat="1">
      <c r="A1110" s="17">
        <v>43405</v>
      </c>
      <c r="B1110" s="4" t="s">
        <v>32</v>
      </c>
      <c r="C1110" s="4" t="s">
        <v>33</v>
      </c>
      <c r="D1110" s="4" t="s">
        <v>34</v>
      </c>
      <c r="E1110" s="4" t="s">
        <v>14</v>
      </c>
      <c r="F1110" s="4" t="s">
        <v>15</v>
      </c>
      <c r="G1110" s="7">
        <v>35022467848.1167</v>
      </c>
    </row>
    <row ht="12.8" outlineLevel="0" r="1111" s="4" customFormat="1">
      <c r="A1111" s="17">
        <v>43405</v>
      </c>
      <c r="B1111" s="4" t="s">
        <v>7</v>
      </c>
      <c r="C1111" s="4" t="s">
        <v>8</v>
      </c>
      <c r="D1111" s="4" t="s">
        <v>9</v>
      </c>
      <c r="E1111" s="4" t="s">
        <v>10</v>
      </c>
      <c r="F1111" s="4" t="s">
        <v>11</v>
      </c>
      <c r="G1111" s="7">
        <v>348696188569.65</v>
      </c>
    </row>
    <row ht="12.8" outlineLevel="0" r="1112" s="4" customFormat="1">
      <c r="A1112" s="17">
        <v>43405</v>
      </c>
      <c r="B1112" s="4" t="s">
        <v>12</v>
      </c>
      <c r="C1112" s="4" t="s">
        <v>8</v>
      </c>
      <c r="D1112" s="4" t="s">
        <v>9</v>
      </c>
      <c r="E1112" s="4" t="s">
        <v>10</v>
      </c>
      <c r="F1112" s="4" t="s">
        <v>11</v>
      </c>
      <c r="G1112" s="7">
        <v>592940082788</v>
      </c>
    </row>
    <row ht="12.8" outlineLevel="0" r="1113" s="4" customFormat="1">
      <c r="A1113" s="17">
        <v>43405</v>
      </c>
      <c r="B1113" s="4" t="s">
        <v>26</v>
      </c>
      <c r="C1113" s="4" t="s">
        <v>27</v>
      </c>
      <c r="D1113" s="4" t="s">
        <v>28</v>
      </c>
      <c r="E1113" s="4" t="s">
        <v>10</v>
      </c>
      <c r="F1113" s="4" t="s">
        <v>11</v>
      </c>
      <c r="G1113" s="7">
        <v>327824531901</v>
      </c>
    </row>
    <row ht="12.8" outlineLevel="0" r="1114" s="4" customFormat="1">
      <c r="A1114" s="17">
        <v>43405</v>
      </c>
      <c r="B1114" s="4" t="s">
        <v>29</v>
      </c>
      <c r="C1114" s="4" t="s">
        <v>30</v>
      </c>
      <c r="D1114" s="4" t="s">
        <v>31</v>
      </c>
      <c r="E1114" s="4" t="s">
        <v>10</v>
      </c>
      <c r="F1114" s="4" t="s">
        <v>11</v>
      </c>
      <c r="G1114" s="7">
        <v>366262995584</v>
      </c>
    </row>
    <row ht="12.8" outlineLevel="0" r="1115" s="4" customFormat="1">
      <c r="A1115" s="17">
        <v>43405</v>
      </c>
      <c r="B1115" s="4" t="s">
        <v>13</v>
      </c>
      <c r="C1115" s="4" t="s">
        <v>8</v>
      </c>
      <c r="D1115" s="4" t="s">
        <v>9</v>
      </c>
      <c r="E1115" s="4" t="s">
        <v>10</v>
      </c>
      <c r="F1115" s="4" t="s">
        <v>11</v>
      </c>
      <c r="G1115" s="7">
        <v>327641321443.53</v>
      </c>
    </row>
    <row ht="12.8" outlineLevel="0" r="1116" s="4" customFormat="1">
      <c r="A1116" s="17">
        <v>43405</v>
      </c>
      <c r="B1116" s="4" t="s">
        <v>22</v>
      </c>
      <c r="C1116" s="4" t="s">
        <v>23</v>
      </c>
      <c r="D1116" s="4" t="s">
        <v>24</v>
      </c>
      <c r="E1116" s="4" t="s">
        <v>10</v>
      </c>
      <c r="F1116" s="4" t="s">
        <v>11</v>
      </c>
      <c r="G1116" s="7">
        <v>370546775988.87</v>
      </c>
    </row>
    <row ht="12.8" outlineLevel="0" r="1117" s="4" customFormat="1">
      <c r="A1117" s="17">
        <v>43405</v>
      </c>
      <c r="B1117" s="4" t="s">
        <v>25</v>
      </c>
      <c r="C1117" s="4" t="s">
        <v>23</v>
      </c>
      <c r="D1117" s="4" t="s">
        <v>24</v>
      </c>
      <c r="E1117" s="4" t="s">
        <v>10</v>
      </c>
      <c r="F1117" s="4" t="s">
        <v>11</v>
      </c>
      <c r="G1117" s="7">
        <v>1042079152454.13</v>
      </c>
    </row>
    <row ht="12.8" outlineLevel="0" r="1118" s="4" customFormat="1">
      <c r="A1118" s="17">
        <v>43405</v>
      </c>
      <c r="B1118" s="4" t="s">
        <v>32</v>
      </c>
      <c r="C1118" s="4" t="s">
        <v>33</v>
      </c>
      <c r="D1118" s="4" t="s">
        <v>34</v>
      </c>
      <c r="E1118" s="4" t="s">
        <v>10</v>
      </c>
      <c r="F1118" s="4" t="s">
        <v>11</v>
      </c>
      <c r="G1118" s="7">
        <v>44118215045.95</v>
      </c>
    </row>
    <row ht="12.8" outlineLevel="0" r="1119" s="4" customFormat="1">
      <c r="A1119" s="17">
        <v>43405</v>
      </c>
      <c r="B1119" s="4" t="s">
        <v>35</v>
      </c>
      <c r="C1119" s="4" t="s">
        <v>36</v>
      </c>
      <c r="D1119" s="4" t="s">
        <v>37</v>
      </c>
      <c r="E1119" s="4" t="s">
        <v>10</v>
      </c>
      <c r="F1119" s="4" t="s">
        <v>11</v>
      </c>
      <c r="G1119" s="7">
        <v>82205616913</v>
      </c>
    </row>
    <row ht="12.8" outlineLevel="0" r="1120" s="4" customFormat="1">
      <c r="A1120" s="17">
        <v>43405</v>
      </c>
      <c r="B1120" s="4" t="s">
        <v>25</v>
      </c>
      <c r="C1120" s="4" t="s">
        <v>23</v>
      </c>
      <c r="D1120" s="4" t="s">
        <v>24</v>
      </c>
      <c r="E1120" s="4" t="s">
        <v>14</v>
      </c>
      <c r="F1120" s="4" t="s">
        <v>15</v>
      </c>
      <c r="G1120" s="7">
        <v>687739753093.32</v>
      </c>
    </row>
    <row ht="12.8" outlineLevel="0" r="1121" s="4" customFormat="1">
      <c r="A1121" s="17">
        <v>43405</v>
      </c>
      <c r="B1121" s="4" t="s">
        <v>7</v>
      </c>
      <c r="C1121" s="4" t="s">
        <v>8</v>
      </c>
      <c r="D1121" s="4" t="s">
        <v>9</v>
      </c>
      <c r="E1121" s="4" t="s">
        <v>18</v>
      </c>
      <c r="F1121" s="4" t="s">
        <v>19</v>
      </c>
      <c r="G1121" s="7">
        <v>302480840430.51</v>
      </c>
    </row>
    <row ht="12.8" outlineLevel="0" r="1122" s="4" customFormat="1">
      <c r="A1122" s="17">
        <v>43405</v>
      </c>
      <c r="B1122" s="4" t="s">
        <v>12</v>
      </c>
      <c r="C1122" s="4" t="s">
        <v>8</v>
      </c>
      <c r="D1122" s="4" t="s">
        <v>9</v>
      </c>
      <c r="E1122" s="4" t="s">
        <v>18</v>
      </c>
      <c r="F1122" s="4" t="s">
        <v>19</v>
      </c>
      <c r="G1122" s="7">
        <v>515108986238.16</v>
      </c>
    </row>
    <row ht="12.8" outlineLevel="0" r="1123" s="4" customFormat="1">
      <c r="A1123" s="17">
        <v>43405</v>
      </c>
      <c r="B1123" s="4" t="s">
        <v>26</v>
      </c>
      <c r="C1123" s="4" t="s">
        <v>27</v>
      </c>
      <c r="D1123" s="4" t="s">
        <v>28</v>
      </c>
      <c r="E1123" s="4" t="s">
        <v>18</v>
      </c>
      <c r="F1123" s="4" t="s">
        <v>19</v>
      </c>
      <c r="G1123" s="7">
        <v>285790314895.941</v>
      </c>
    </row>
    <row ht="12.8" outlineLevel="0" r="1124" s="4" customFormat="1">
      <c r="A1124" s="17">
        <v>43405</v>
      </c>
      <c r="B1124" s="4" t="s">
        <v>29</v>
      </c>
      <c r="C1124" s="4" t="s">
        <v>30</v>
      </c>
      <c r="D1124" s="4" t="s">
        <v>31</v>
      </c>
      <c r="E1124" s="4" t="s">
        <v>18</v>
      </c>
      <c r="F1124" s="4" t="s">
        <v>19</v>
      </c>
      <c r="G1124" s="7">
        <v>276303454274.07</v>
      </c>
    </row>
    <row ht="12.8" outlineLevel="0" r="1125" s="4" customFormat="1">
      <c r="A1125" s="17">
        <v>43405</v>
      </c>
      <c r="B1125" s="4" t="s">
        <v>13</v>
      </c>
      <c r="C1125" s="4" t="s">
        <v>8</v>
      </c>
      <c r="D1125" s="4" t="s">
        <v>9</v>
      </c>
      <c r="E1125" s="4" t="s">
        <v>18</v>
      </c>
      <c r="F1125" s="4" t="s">
        <v>19</v>
      </c>
      <c r="G1125" s="7">
        <v>251100116558.795</v>
      </c>
    </row>
    <row ht="12.8" outlineLevel="0" r="1126" s="4" customFormat="1">
      <c r="A1126" s="17">
        <v>43405</v>
      </c>
      <c r="B1126" s="4" t="s">
        <v>22</v>
      </c>
      <c r="C1126" s="4" t="s">
        <v>23</v>
      </c>
      <c r="D1126" s="4" t="s">
        <v>24</v>
      </c>
      <c r="E1126" s="4" t="s">
        <v>18</v>
      </c>
      <c r="F1126" s="4" t="s">
        <v>19</v>
      </c>
      <c r="G1126" s="7">
        <v>335139639653.5</v>
      </c>
    </row>
    <row ht="12.8" outlineLevel="0" r="1127" s="4" customFormat="1">
      <c r="A1127" s="17">
        <v>43405</v>
      </c>
      <c r="B1127" s="4" t="s">
        <v>25</v>
      </c>
      <c r="C1127" s="4" t="s">
        <v>23</v>
      </c>
      <c r="D1127" s="4" t="s">
        <v>24</v>
      </c>
      <c r="E1127" s="4" t="s">
        <v>18</v>
      </c>
      <c r="F1127" s="4" t="s">
        <v>19</v>
      </c>
      <c r="G1127" s="7">
        <v>449033306061.43</v>
      </c>
    </row>
    <row ht="12.8" outlineLevel="0" r="1128" s="4" customFormat="1">
      <c r="A1128" s="17">
        <v>43405</v>
      </c>
      <c r="B1128" s="4" t="s">
        <v>32</v>
      </c>
      <c r="C1128" s="4" t="s">
        <v>33</v>
      </c>
      <c r="D1128" s="4" t="s">
        <v>34</v>
      </c>
      <c r="E1128" s="4" t="s">
        <v>18</v>
      </c>
      <c r="F1128" s="4" t="s">
        <v>19</v>
      </c>
      <c r="G1128" s="7">
        <v>13171987622.2949</v>
      </c>
    </row>
    <row ht="12.8" outlineLevel="0" r="1129" s="4" customFormat="1">
      <c r="A1129" s="17">
        <v>43405</v>
      </c>
      <c r="B1129" s="4" t="s">
        <v>35</v>
      </c>
      <c r="C1129" s="4" t="s">
        <v>36</v>
      </c>
      <c r="D1129" s="4" t="s">
        <v>37</v>
      </c>
      <c r="E1129" s="4" t="s">
        <v>18</v>
      </c>
      <c r="F1129" s="4" t="s">
        <v>19</v>
      </c>
      <c r="G1129" s="7">
        <v>51890821686.15</v>
      </c>
    </row>
    <row ht="12.8" outlineLevel="0" r="1130" s="4" customFormat="1">
      <c r="A1130" s="17">
        <v>43405</v>
      </c>
      <c r="B1130" s="4" t="s">
        <v>7</v>
      </c>
      <c r="C1130" s="4" t="s">
        <v>8</v>
      </c>
      <c r="D1130" s="4" t="s">
        <v>9</v>
      </c>
      <c r="E1130" s="4" t="s">
        <v>16</v>
      </c>
      <c r="F1130" s="4" t="s">
        <v>17</v>
      </c>
      <c r="G1130" s="7">
        <v>305799675075.37</v>
      </c>
    </row>
    <row ht="12.8" outlineLevel="0" r="1131" s="4" customFormat="1">
      <c r="A1131" s="17">
        <v>43405</v>
      </c>
      <c r="B1131" s="4" t="s">
        <v>12</v>
      </c>
      <c r="C1131" s="4" t="s">
        <v>8</v>
      </c>
      <c r="D1131" s="4" t="s">
        <v>9</v>
      </c>
      <c r="E1131" s="4" t="s">
        <v>16</v>
      </c>
      <c r="F1131" s="4" t="s">
        <v>17</v>
      </c>
      <c r="G1131" s="7">
        <v>543972231455.97</v>
      </c>
    </row>
    <row ht="12.8" outlineLevel="0" r="1132" s="4" customFormat="1">
      <c r="A1132" s="17">
        <v>43405</v>
      </c>
      <c r="B1132" s="4" t="s">
        <v>26</v>
      </c>
      <c r="C1132" s="4" t="s">
        <v>27</v>
      </c>
      <c r="D1132" s="4" t="s">
        <v>28</v>
      </c>
      <c r="E1132" s="4" t="s">
        <v>16</v>
      </c>
      <c r="F1132" s="4" t="s">
        <v>17</v>
      </c>
      <c r="G1132" s="7">
        <v>288938278036.401</v>
      </c>
    </row>
    <row ht="12.8" outlineLevel="0" r="1133" s="4" customFormat="1">
      <c r="A1133" s="17">
        <v>43405</v>
      </c>
      <c r="B1133" s="4" t="s">
        <v>29</v>
      </c>
      <c r="C1133" s="4" t="s">
        <v>30</v>
      </c>
      <c r="D1133" s="4" t="s">
        <v>31</v>
      </c>
      <c r="E1133" s="4" t="s">
        <v>16</v>
      </c>
      <c r="F1133" s="4" t="s">
        <v>17</v>
      </c>
      <c r="G1133" s="7">
        <v>276303454274.07</v>
      </c>
    </row>
    <row ht="12.8" outlineLevel="0" r="1134" s="4" customFormat="1">
      <c r="A1134" s="17">
        <v>43405</v>
      </c>
      <c r="B1134" s="4" t="s">
        <v>13</v>
      </c>
      <c r="C1134" s="4" t="s">
        <v>8</v>
      </c>
      <c r="D1134" s="4" t="s">
        <v>9</v>
      </c>
      <c r="E1134" s="4" t="s">
        <v>16</v>
      </c>
      <c r="F1134" s="4" t="s">
        <v>17</v>
      </c>
      <c r="G1134" s="7">
        <v>254606059708.4</v>
      </c>
    </row>
    <row ht="12.8" outlineLevel="0" r="1135" s="4" customFormat="1">
      <c r="A1135" s="17">
        <v>43405</v>
      </c>
      <c r="B1135" s="4" t="s">
        <v>22</v>
      </c>
      <c r="C1135" s="4" t="s">
        <v>23</v>
      </c>
      <c r="D1135" s="4" t="s">
        <v>24</v>
      </c>
      <c r="E1135" s="4" t="s">
        <v>16</v>
      </c>
      <c r="F1135" s="4" t="s">
        <v>17</v>
      </c>
      <c r="G1135" s="7">
        <v>335139639653.5</v>
      </c>
    </row>
    <row ht="12.8" outlineLevel="0" r="1136" s="4" customFormat="1">
      <c r="A1136" s="17">
        <v>43405</v>
      </c>
      <c r="B1136" s="4" t="s">
        <v>25</v>
      </c>
      <c r="C1136" s="4" t="s">
        <v>23</v>
      </c>
      <c r="D1136" s="4" t="s">
        <v>24</v>
      </c>
      <c r="E1136" s="4" t="s">
        <v>16</v>
      </c>
      <c r="F1136" s="4" t="s">
        <v>17</v>
      </c>
      <c r="G1136" s="7">
        <v>449033306061.43</v>
      </c>
    </row>
    <row ht="12.8" outlineLevel="0" r="1137" s="4" customFormat="1">
      <c r="A1137" s="17">
        <v>43405</v>
      </c>
      <c r="B1137" s="4" t="s">
        <v>32</v>
      </c>
      <c r="C1137" s="4" t="s">
        <v>33</v>
      </c>
      <c r="D1137" s="4" t="s">
        <v>34</v>
      </c>
      <c r="E1137" s="4" t="s">
        <v>16</v>
      </c>
      <c r="F1137" s="4" t="s">
        <v>17</v>
      </c>
      <c r="G1137" s="7">
        <v>14017852323.1635</v>
      </c>
    </row>
    <row ht="12.8" outlineLevel="0" r="1138" s="4" customFormat="1">
      <c r="A1138" s="17">
        <v>43405</v>
      </c>
      <c r="B1138" s="4" t="s">
        <v>35</v>
      </c>
      <c r="C1138" s="4" t="s">
        <v>36</v>
      </c>
      <c r="D1138" s="4" t="s">
        <v>37</v>
      </c>
      <c r="E1138" s="4" t="s">
        <v>16</v>
      </c>
      <c r="F1138" s="4" t="s">
        <v>17</v>
      </c>
      <c r="G1138" s="7">
        <v>53099566845.24</v>
      </c>
    </row>
    <row ht="12.8" outlineLevel="0" r="1139" s="4" customFormat="1">
      <c r="A1139" s="17">
        <v>43374</v>
      </c>
      <c r="B1139" s="4" t="s">
        <v>29</v>
      </c>
      <c r="C1139" s="4" t="s">
        <v>30</v>
      </c>
      <c r="D1139" s="4" t="s">
        <v>31</v>
      </c>
      <c r="E1139" s="4" t="s">
        <v>14</v>
      </c>
      <c r="F1139" s="4" t="s">
        <v>15</v>
      </c>
      <c r="G1139" s="7">
        <v>331253414144.2</v>
      </c>
    </row>
    <row ht="12.8" outlineLevel="0" r="1140" s="4" customFormat="1">
      <c r="A1140" s="17">
        <v>43374</v>
      </c>
      <c r="B1140" s="4" t="s">
        <v>7</v>
      </c>
      <c r="C1140" s="4" t="s">
        <v>8</v>
      </c>
      <c r="D1140" s="4" t="s">
        <v>9</v>
      </c>
      <c r="E1140" s="4" t="s">
        <v>14</v>
      </c>
      <c r="F1140" s="4" t="s">
        <v>15</v>
      </c>
      <c r="G1140" s="7">
        <v>329868054383.17</v>
      </c>
    </row>
    <row ht="12.8" outlineLevel="0" r="1141" s="4" customFormat="1">
      <c r="A1141" s="17">
        <v>43374</v>
      </c>
      <c r="B1141" s="4" t="s">
        <v>38</v>
      </c>
      <c r="C1141" s="4" t="s">
        <v>39</v>
      </c>
      <c r="D1141" s="4" t="s">
        <v>40</v>
      </c>
      <c r="E1141" s="4" t="s">
        <v>10</v>
      </c>
      <c r="F1141" s="4" t="s">
        <v>11</v>
      </c>
      <c r="G1141" s="7">
        <v>19297075839</v>
      </c>
    </row>
    <row ht="12.8" outlineLevel="0" r="1142" s="4" customFormat="1">
      <c r="A1142" s="17">
        <v>43374</v>
      </c>
      <c r="B1142" s="4" t="s">
        <v>26</v>
      </c>
      <c r="C1142" s="4" t="s">
        <v>27</v>
      </c>
      <c r="D1142" s="4" t="s">
        <v>28</v>
      </c>
      <c r="E1142" s="4" t="s">
        <v>14</v>
      </c>
      <c r="F1142" s="4" t="s">
        <v>15</v>
      </c>
      <c r="G1142" s="7">
        <v>297705224540.776</v>
      </c>
    </row>
    <row ht="12.8" outlineLevel="0" r="1143" s="4" customFormat="1">
      <c r="A1143" s="17">
        <v>43374</v>
      </c>
      <c r="B1143" s="4" t="s">
        <v>12</v>
      </c>
      <c r="C1143" s="4" t="s">
        <v>8</v>
      </c>
      <c r="D1143" s="4" t="s">
        <v>9</v>
      </c>
      <c r="E1143" s="4" t="s">
        <v>14</v>
      </c>
      <c r="F1143" s="4" t="s">
        <v>15</v>
      </c>
      <c r="G1143" s="7">
        <v>554479869038.7</v>
      </c>
    </row>
    <row ht="12.8" outlineLevel="0" r="1144" s="4" customFormat="1">
      <c r="A1144" s="17">
        <v>43374</v>
      </c>
      <c r="B1144" s="4" t="s">
        <v>35</v>
      </c>
      <c r="C1144" s="4" t="s">
        <v>36</v>
      </c>
      <c r="D1144" s="4" t="s">
        <v>37</v>
      </c>
      <c r="E1144" s="4" t="s">
        <v>14</v>
      </c>
      <c r="F1144" s="4" t="s">
        <v>15</v>
      </c>
      <c r="G1144" s="7">
        <v>66575039871.33</v>
      </c>
    </row>
    <row ht="12.8" outlineLevel="0" r="1145" s="4" customFormat="1">
      <c r="A1145" s="17">
        <v>43374</v>
      </c>
      <c r="B1145" s="4" t="s">
        <v>22</v>
      </c>
      <c r="C1145" s="4" t="s">
        <v>23</v>
      </c>
      <c r="D1145" s="4" t="s">
        <v>24</v>
      </c>
      <c r="E1145" s="4" t="s">
        <v>14</v>
      </c>
      <c r="F1145" s="4" t="s">
        <v>15</v>
      </c>
      <c r="G1145" s="7">
        <v>341469352730.38</v>
      </c>
    </row>
    <row ht="12.8" outlineLevel="0" r="1146" s="4" customFormat="1">
      <c r="A1146" s="17">
        <v>43374</v>
      </c>
      <c r="B1146" s="4" t="s">
        <v>13</v>
      </c>
      <c r="C1146" s="4" t="s">
        <v>8</v>
      </c>
      <c r="D1146" s="4" t="s">
        <v>9</v>
      </c>
      <c r="E1146" s="4" t="s">
        <v>14</v>
      </c>
      <c r="F1146" s="4" t="s">
        <v>15</v>
      </c>
      <c r="G1146" s="7">
        <v>295903530493.202</v>
      </c>
    </row>
    <row ht="12.8" outlineLevel="0" r="1147" s="4" customFormat="1">
      <c r="A1147" s="17">
        <v>43374</v>
      </c>
      <c r="B1147" s="4" t="s">
        <v>32</v>
      </c>
      <c r="C1147" s="4" t="s">
        <v>33</v>
      </c>
      <c r="D1147" s="4" t="s">
        <v>34</v>
      </c>
      <c r="E1147" s="4" t="s">
        <v>14</v>
      </c>
      <c r="F1147" s="4" t="s">
        <v>15</v>
      </c>
      <c r="G1147" s="7">
        <v>30675552292.8145</v>
      </c>
    </row>
    <row ht="12.8" outlineLevel="0" r="1148" s="4" customFormat="1">
      <c r="A1148" s="17">
        <v>43374</v>
      </c>
      <c r="B1148" s="4" t="s">
        <v>7</v>
      </c>
      <c r="C1148" s="4" t="s">
        <v>8</v>
      </c>
      <c r="D1148" s="4" t="s">
        <v>9</v>
      </c>
      <c r="E1148" s="4" t="s">
        <v>10</v>
      </c>
      <c r="F1148" s="4" t="s">
        <v>11</v>
      </c>
      <c r="G1148" s="7">
        <v>339961907844.72</v>
      </c>
    </row>
    <row ht="12.8" outlineLevel="0" r="1149" s="4" customFormat="1">
      <c r="A1149" s="17">
        <v>43374</v>
      </c>
      <c r="B1149" s="4" t="s">
        <v>12</v>
      </c>
      <c r="C1149" s="4" t="s">
        <v>8</v>
      </c>
      <c r="D1149" s="4" t="s">
        <v>9</v>
      </c>
      <c r="E1149" s="4" t="s">
        <v>10</v>
      </c>
      <c r="F1149" s="4" t="s">
        <v>11</v>
      </c>
      <c r="G1149" s="7">
        <v>593149108342</v>
      </c>
    </row>
    <row ht="12.8" outlineLevel="0" r="1150" s="4" customFormat="1">
      <c r="A1150" s="17">
        <v>43374</v>
      </c>
      <c r="B1150" s="4" t="s">
        <v>26</v>
      </c>
      <c r="C1150" s="4" t="s">
        <v>27</v>
      </c>
      <c r="D1150" s="4" t="s">
        <v>28</v>
      </c>
      <c r="E1150" s="4" t="s">
        <v>10</v>
      </c>
      <c r="F1150" s="4" t="s">
        <v>11</v>
      </c>
      <c r="G1150" s="7">
        <v>327399207989</v>
      </c>
    </row>
    <row ht="12.8" outlineLevel="0" r="1151" s="4" customFormat="1">
      <c r="A1151" s="17">
        <v>43374</v>
      </c>
      <c r="B1151" s="4" t="s">
        <v>29</v>
      </c>
      <c r="C1151" s="4" t="s">
        <v>30</v>
      </c>
      <c r="D1151" s="4" t="s">
        <v>31</v>
      </c>
      <c r="E1151" s="4" t="s">
        <v>10</v>
      </c>
      <c r="F1151" s="4" t="s">
        <v>11</v>
      </c>
      <c r="G1151" s="7">
        <v>366261169940</v>
      </c>
    </row>
    <row ht="12.8" outlineLevel="0" r="1152" s="4" customFormat="1">
      <c r="A1152" s="17">
        <v>43374</v>
      </c>
      <c r="B1152" s="4" t="s">
        <v>13</v>
      </c>
      <c r="C1152" s="4" t="s">
        <v>8</v>
      </c>
      <c r="D1152" s="4" t="s">
        <v>9</v>
      </c>
      <c r="E1152" s="4" t="s">
        <v>10</v>
      </c>
      <c r="F1152" s="4" t="s">
        <v>11</v>
      </c>
      <c r="G1152" s="7">
        <v>328064705489.04</v>
      </c>
    </row>
    <row ht="12.8" outlineLevel="0" r="1153" s="4" customFormat="1">
      <c r="A1153" s="17">
        <v>43374</v>
      </c>
      <c r="B1153" s="4" t="s">
        <v>22</v>
      </c>
      <c r="C1153" s="4" t="s">
        <v>23</v>
      </c>
      <c r="D1153" s="4" t="s">
        <v>24</v>
      </c>
      <c r="E1153" s="4" t="s">
        <v>10</v>
      </c>
      <c r="F1153" s="4" t="s">
        <v>11</v>
      </c>
      <c r="G1153" s="7">
        <v>370646775988.87</v>
      </c>
    </row>
    <row ht="12.8" outlineLevel="0" r="1154" s="4" customFormat="1">
      <c r="A1154" s="17">
        <v>43374</v>
      </c>
      <c r="B1154" s="4" t="s">
        <v>25</v>
      </c>
      <c r="C1154" s="4" t="s">
        <v>23</v>
      </c>
      <c r="D1154" s="4" t="s">
        <v>24</v>
      </c>
      <c r="E1154" s="4" t="s">
        <v>10</v>
      </c>
      <c r="F1154" s="4" t="s">
        <v>11</v>
      </c>
      <c r="G1154" s="7">
        <v>1041979152454.13</v>
      </c>
    </row>
    <row ht="12.8" outlineLevel="0" r="1155" s="4" customFormat="1">
      <c r="A1155" s="17">
        <v>43374</v>
      </c>
      <c r="B1155" s="4" t="s">
        <v>32</v>
      </c>
      <c r="C1155" s="4" t="s">
        <v>33</v>
      </c>
      <c r="D1155" s="4" t="s">
        <v>34</v>
      </c>
      <c r="E1155" s="4" t="s">
        <v>10</v>
      </c>
      <c r="F1155" s="4" t="s">
        <v>11</v>
      </c>
      <c r="G1155" s="7">
        <v>43333726276.97</v>
      </c>
    </row>
    <row ht="12.8" outlineLevel="0" r="1156" s="4" customFormat="1">
      <c r="A1156" s="17">
        <v>43374</v>
      </c>
      <c r="B1156" s="4" t="s">
        <v>35</v>
      </c>
      <c r="C1156" s="4" t="s">
        <v>36</v>
      </c>
      <c r="D1156" s="4" t="s">
        <v>37</v>
      </c>
      <c r="E1156" s="4" t="s">
        <v>10</v>
      </c>
      <c r="F1156" s="4" t="s">
        <v>11</v>
      </c>
      <c r="G1156" s="7">
        <v>80256052007</v>
      </c>
    </row>
    <row ht="12.8" outlineLevel="0" r="1157" s="4" customFormat="1">
      <c r="A1157" s="17">
        <v>43374</v>
      </c>
      <c r="B1157" s="4" t="s">
        <v>25</v>
      </c>
      <c r="C1157" s="4" t="s">
        <v>23</v>
      </c>
      <c r="D1157" s="4" t="s">
        <v>24</v>
      </c>
      <c r="E1157" s="4" t="s">
        <v>14</v>
      </c>
      <c r="F1157" s="4" t="s">
        <v>15</v>
      </c>
      <c r="G1157" s="7">
        <v>685976466617.2</v>
      </c>
    </row>
    <row ht="12.8" outlineLevel="0" r="1158" s="4" customFormat="1">
      <c r="A1158" s="17">
        <v>43374</v>
      </c>
      <c r="B1158" s="4" t="s">
        <v>7</v>
      </c>
      <c r="C1158" s="4" t="s">
        <v>8</v>
      </c>
      <c r="D1158" s="4" t="s">
        <v>9</v>
      </c>
      <c r="E1158" s="4" t="s">
        <v>18</v>
      </c>
      <c r="F1158" s="4" t="s">
        <v>19</v>
      </c>
      <c r="G1158" s="7">
        <v>269663649258</v>
      </c>
    </row>
    <row ht="12.8" outlineLevel="0" r="1159" s="4" customFormat="1">
      <c r="A1159" s="17">
        <v>43374</v>
      </c>
      <c r="B1159" s="4" t="s">
        <v>12</v>
      </c>
      <c r="C1159" s="4" t="s">
        <v>8</v>
      </c>
      <c r="D1159" s="4" t="s">
        <v>9</v>
      </c>
      <c r="E1159" s="4" t="s">
        <v>18</v>
      </c>
      <c r="F1159" s="4" t="s">
        <v>19</v>
      </c>
      <c r="G1159" s="7">
        <v>456928051299.33</v>
      </c>
    </row>
    <row ht="12.8" outlineLevel="0" r="1160" s="4" customFormat="1">
      <c r="A1160" s="17">
        <v>43374</v>
      </c>
      <c r="B1160" s="4" t="s">
        <v>26</v>
      </c>
      <c r="C1160" s="4" t="s">
        <v>27</v>
      </c>
      <c r="D1160" s="4" t="s">
        <v>28</v>
      </c>
      <c r="E1160" s="4" t="s">
        <v>18</v>
      </c>
      <c r="F1160" s="4" t="s">
        <v>19</v>
      </c>
      <c r="G1160" s="7">
        <v>251075509052.317</v>
      </c>
    </row>
    <row ht="12.8" outlineLevel="0" r="1161" s="4" customFormat="1">
      <c r="A1161" s="17">
        <v>43374</v>
      </c>
      <c r="B1161" s="4" t="s">
        <v>29</v>
      </c>
      <c r="C1161" s="4" t="s">
        <v>30</v>
      </c>
      <c r="D1161" s="4" t="s">
        <v>31</v>
      </c>
      <c r="E1161" s="4" t="s">
        <v>18</v>
      </c>
      <c r="F1161" s="4" t="s">
        <v>19</v>
      </c>
      <c r="G1161" s="7">
        <v>255422839186.58</v>
      </c>
    </row>
    <row ht="12.8" outlineLevel="0" r="1162" s="4" customFormat="1">
      <c r="A1162" s="17">
        <v>43374</v>
      </c>
      <c r="B1162" s="4" t="s">
        <v>13</v>
      </c>
      <c r="C1162" s="4" t="s">
        <v>8</v>
      </c>
      <c r="D1162" s="4" t="s">
        <v>9</v>
      </c>
      <c r="E1162" s="4" t="s">
        <v>18</v>
      </c>
      <c r="F1162" s="4" t="s">
        <v>19</v>
      </c>
      <c r="G1162" s="7">
        <v>226338206974.162</v>
      </c>
    </row>
    <row ht="12.8" outlineLevel="0" r="1163" s="4" customFormat="1">
      <c r="A1163" s="17">
        <v>43374</v>
      </c>
      <c r="B1163" s="4" t="s">
        <v>22</v>
      </c>
      <c r="C1163" s="4" t="s">
        <v>23</v>
      </c>
      <c r="D1163" s="4" t="s">
        <v>24</v>
      </c>
      <c r="E1163" s="4" t="s">
        <v>18</v>
      </c>
      <c r="F1163" s="4" t="s">
        <v>19</v>
      </c>
      <c r="G1163" s="7">
        <v>334546525239.25</v>
      </c>
    </row>
    <row ht="12.8" outlineLevel="0" r="1164" s="4" customFormat="1">
      <c r="A1164" s="17">
        <v>43374</v>
      </c>
      <c r="B1164" s="4" t="s">
        <v>25</v>
      </c>
      <c r="C1164" s="4" t="s">
        <v>23</v>
      </c>
      <c r="D1164" s="4" t="s">
        <v>24</v>
      </c>
      <c r="E1164" s="4" t="s">
        <v>18</v>
      </c>
      <c r="F1164" s="4" t="s">
        <v>19</v>
      </c>
      <c r="G1164" s="7">
        <v>446259536261.97</v>
      </c>
    </row>
    <row ht="12.8" outlineLevel="0" r="1165" s="4" customFormat="1">
      <c r="A1165" s="17">
        <v>43374</v>
      </c>
      <c r="B1165" s="4" t="s">
        <v>32</v>
      </c>
      <c r="C1165" s="4" t="s">
        <v>33</v>
      </c>
      <c r="D1165" s="4" t="s">
        <v>34</v>
      </c>
      <c r="E1165" s="4" t="s">
        <v>18</v>
      </c>
      <c r="F1165" s="4" t="s">
        <v>19</v>
      </c>
      <c r="G1165" s="7">
        <v>10507002658.0343</v>
      </c>
    </row>
    <row ht="12.8" outlineLevel="0" r="1166" s="4" customFormat="1">
      <c r="A1166" s="17">
        <v>43374</v>
      </c>
      <c r="B1166" s="4" t="s">
        <v>35</v>
      </c>
      <c r="C1166" s="4" t="s">
        <v>36</v>
      </c>
      <c r="D1166" s="4" t="s">
        <v>37</v>
      </c>
      <c r="E1166" s="4" t="s">
        <v>18</v>
      </c>
      <c r="F1166" s="4" t="s">
        <v>19</v>
      </c>
      <c r="G1166" s="7">
        <v>46809022724.15</v>
      </c>
    </row>
    <row ht="12.8" outlineLevel="0" r="1167">
      <c r="A1167" s="17">
        <v>43374</v>
      </c>
      <c r="B1167" s="4" t="s">
        <v>7</v>
      </c>
      <c r="C1167" s="4" t="s">
        <v>8</v>
      </c>
      <c r="D1167" s="4" t="s">
        <v>9</v>
      </c>
      <c r="E1167" s="4" t="s">
        <v>16</v>
      </c>
      <c r="F1167" s="4" t="s">
        <v>17</v>
      </c>
      <c r="G1167" s="7">
        <v>272178211388.33</v>
      </c>
    </row>
    <row ht="12.8" outlineLevel="0" r="1168">
      <c r="A1168" s="17">
        <v>43374</v>
      </c>
      <c r="B1168" s="4" t="s">
        <v>12</v>
      </c>
      <c r="C1168" s="4" t="s">
        <v>8</v>
      </c>
      <c r="D1168" s="4" t="s">
        <v>9</v>
      </c>
      <c r="E1168" s="4" t="s">
        <v>16</v>
      </c>
      <c r="F1168" s="4" t="s">
        <v>17</v>
      </c>
      <c r="G1168" s="7">
        <v>481956111162.57</v>
      </c>
    </row>
    <row ht="12.8" outlineLevel="0" r="1169">
      <c r="A1169" s="17">
        <v>43374</v>
      </c>
      <c r="B1169" s="4" t="s">
        <v>26</v>
      </c>
      <c r="C1169" s="4" t="s">
        <v>27</v>
      </c>
      <c r="D1169" s="4" t="s">
        <v>28</v>
      </c>
      <c r="E1169" s="4" t="s">
        <v>16</v>
      </c>
      <c r="F1169" s="4" t="s">
        <v>17</v>
      </c>
      <c r="G1169" s="7">
        <v>252547445059.197</v>
      </c>
    </row>
    <row ht="12.8" outlineLevel="0" r="1170">
      <c r="A1170" s="17">
        <v>43374</v>
      </c>
      <c r="B1170" s="4" t="s">
        <v>29</v>
      </c>
      <c r="C1170" s="4" t="s">
        <v>30</v>
      </c>
      <c r="D1170" s="4" t="s">
        <v>31</v>
      </c>
      <c r="E1170" s="4" t="s">
        <v>16</v>
      </c>
      <c r="F1170" s="4" t="s">
        <v>17</v>
      </c>
      <c r="G1170" s="7">
        <v>255422839186.58</v>
      </c>
    </row>
    <row ht="12.8" outlineLevel="0" r="1171">
      <c r="A1171" s="17">
        <v>43374</v>
      </c>
      <c r="B1171" s="4" t="s">
        <v>13</v>
      </c>
      <c r="C1171" s="4" t="s">
        <v>8</v>
      </c>
      <c r="D1171" s="4" t="s">
        <v>9</v>
      </c>
      <c r="E1171" s="4" t="s">
        <v>16</v>
      </c>
      <c r="F1171" s="4" t="s">
        <v>17</v>
      </c>
      <c r="G1171" s="7">
        <v>229593619822.414</v>
      </c>
    </row>
    <row ht="12.8" outlineLevel="0" r="1172">
      <c r="A1172" s="17">
        <v>43374</v>
      </c>
      <c r="B1172" s="4" t="s">
        <v>22</v>
      </c>
      <c r="C1172" s="4" t="s">
        <v>23</v>
      </c>
      <c r="D1172" s="4" t="s">
        <v>24</v>
      </c>
      <c r="E1172" s="4" t="s">
        <v>16</v>
      </c>
      <c r="F1172" s="4" t="s">
        <v>17</v>
      </c>
      <c r="G1172" s="7">
        <v>334546525239.25</v>
      </c>
    </row>
    <row ht="12.8" outlineLevel="0" r="1173">
      <c r="A1173" s="17">
        <v>43374</v>
      </c>
      <c r="B1173" s="4" t="s">
        <v>25</v>
      </c>
      <c r="C1173" s="4" t="s">
        <v>23</v>
      </c>
      <c r="D1173" s="4" t="s">
        <v>24</v>
      </c>
      <c r="E1173" s="4" t="s">
        <v>16</v>
      </c>
      <c r="F1173" s="4" t="s">
        <v>17</v>
      </c>
      <c r="G1173" s="7">
        <v>446259536261.97</v>
      </c>
    </row>
    <row ht="12.8" outlineLevel="0" r="1174">
      <c r="A1174" s="17">
        <v>43374</v>
      </c>
      <c r="B1174" s="4" t="s">
        <v>32</v>
      </c>
      <c r="C1174" s="4" t="s">
        <v>33</v>
      </c>
      <c r="D1174" s="4" t="s">
        <v>34</v>
      </c>
      <c r="E1174" s="4" t="s">
        <v>16</v>
      </c>
      <c r="F1174" s="4" t="s">
        <v>17</v>
      </c>
      <c r="G1174" s="7">
        <v>11098105996.8319</v>
      </c>
    </row>
    <row ht="12.8" outlineLevel="0" r="1175">
      <c r="A1175" s="17">
        <v>43374</v>
      </c>
      <c r="B1175" s="4" t="s">
        <v>35</v>
      </c>
      <c r="C1175" s="4" t="s">
        <v>36</v>
      </c>
      <c r="D1175" s="4" t="s">
        <v>37</v>
      </c>
      <c r="E1175" s="4" t="s">
        <v>16</v>
      </c>
      <c r="F1175" s="4" t="s">
        <v>17</v>
      </c>
      <c r="G1175" s="7">
        <v>48260348692.75</v>
      </c>
    </row>
    <row ht="12.8" outlineLevel="0" r="1176">
      <c r="A1176" s="17">
        <v>43344</v>
      </c>
      <c r="B1176" s="4" t="s">
        <v>29</v>
      </c>
      <c r="C1176" s="4" t="s">
        <v>30</v>
      </c>
      <c r="D1176" s="4" t="s">
        <v>31</v>
      </c>
      <c r="E1176" s="4" t="s">
        <v>14</v>
      </c>
      <c r="F1176" s="4" t="s">
        <v>15</v>
      </c>
      <c r="G1176" s="7">
        <v>347874979715.57</v>
      </c>
    </row>
    <row ht="12.8" outlineLevel="0" r="1177">
      <c r="A1177" s="17">
        <v>43344</v>
      </c>
      <c r="B1177" s="4" t="s">
        <v>7</v>
      </c>
      <c r="C1177" s="4" t="s">
        <v>8</v>
      </c>
      <c r="D1177" s="4" t="s">
        <v>9</v>
      </c>
      <c r="E1177" s="4" t="s">
        <v>14</v>
      </c>
      <c r="F1177" s="4" t="s">
        <v>15</v>
      </c>
      <c r="G1177" s="7">
        <v>318599548339.12</v>
      </c>
    </row>
    <row ht="12.8" outlineLevel="0" r="1178">
      <c r="A1178" s="17">
        <v>43344</v>
      </c>
      <c r="B1178" s="4" t="s">
        <v>38</v>
      </c>
      <c r="C1178" s="4" t="s">
        <v>39</v>
      </c>
      <c r="D1178" s="4" t="s">
        <v>40</v>
      </c>
      <c r="E1178" s="4" t="s">
        <v>10</v>
      </c>
      <c r="F1178" s="4" t="s">
        <v>11</v>
      </c>
      <c r="G1178" s="7">
        <v>19323661720</v>
      </c>
    </row>
    <row ht="12.8" outlineLevel="0" r="1179">
      <c r="A1179" s="17">
        <v>43344</v>
      </c>
      <c r="B1179" s="4" t="s">
        <v>26</v>
      </c>
      <c r="C1179" s="4" t="s">
        <v>27</v>
      </c>
      <c r="D1179" s="4" t="s">
        <v>28</v>
      </c>
      <c r="E1179" s="4" t="s">
        <v>14</v>
      </c>
      <c r="F1179" s="4" t="s">
        <v>15</v>
      </c>
      <c r="G1179" s="7">
        <v>282680336771.027</v>
      </c>
    </row>
    <row ht="12.8" outlineLevel="0" r="1180">
      <c r="A1180" s="17">
        <v>43344</v>
      </c>
      <c r="B1180" s="4" t="s">
        <v>12</v>
      </c>
      <c r="C1180" s="4" t="s">
        <v>8</v>
      </c>
      <c r="D1180" s="4" t="s">
        <v>9</v>
      </c>
      <c r="E1180" s="4" t="s">
        <v>14</v>
      </c>
      <c r="F1180" s="4" t="s">
        <v>15</v>
      </c>
      <c r="G1180" s="7">
        <v>539612946320.35</v>
      </c>
    </row>
    <row ht="12.8" outlineLevel="0" r="1181">
      <c r="A1181" s="17">
        <v>43344</v>
      </c>
      <c r="B1181" s="4" t="s">
        <v>35</v>
      </c>
      <c r="C1181" s="4" t="s">
        <v>36</v>
      </c>
      <c r="D1181" s="4" t="s">
        <v>37</v>
      </c>
      <c r="E1181" s="4" t="s">
        <v>14</v>
      </c>
      <c r="F1181" s="4" t="s">
        <v>15</v>
      </c>
      <c r="G1181" s="7">
        <v>61882447876.29</v>
      </c>
    </row>
    <row ht="12.8" outlineLevel="0" r="1182">
      <c r="A1182" s="17">
        <v>43344</v>
      </c>
      <c r="B1182" s="4" t="s">
        <v>22</v>
      </c>
      <c r="C1182" s="4" t="s">
        <v>23</v>
      </c>
      <c r="D1182" s="4" t="s">
        <v>24</v>
      </c>
      <c r="E1182" s="4" t="s">
        <v>14</v>
      </c>
      <c r="F1182" s="4" t="s">
        <v>15</v>
      </c>
      <c r="G1182" s="7">
        <v>330638574073.87</v>
      </c>
    </row>
    <row ht="12.8" outlineLevel="0" r="1183">
      <c r="A1183" s="17">
        <v>43344</v>
      </c>
      <c r="B1183" s="4" t="s">
        <v>13</v>
      </c>
      <c r="C1183" s="4" t="s">
        <v>8</v>
      </c>
      <c r="D1183" s="4" t="s">
        <v>9</v>
      </c>
      <c r="E1183" s="4" t="s">
        <v>14</v>
      </c>
      <c r="F1183" s="4" t="s">
        <v>15</v>
      </c>
      <c r="G1183" s="7">
        <v>271091874720.159</v>
      </c>
    </row>
    <row ht="12.8" outlineLevel="0" r="1184">
      <c r="A1184" s="17">
        <v>43344</v>
      </c>
      <c r="B1184" s="4" t="s">
        <v>32</v>
      </c>
      <c r="C1184" s="4" t="s">
        <v>33</v>
      </c>
      <c r="D1184" s="4" t="s">
        <v>34</v>
      </c>
      <c r="E1184" s="4" t="s">
        <v>14</v>
      </c>
      <c r="F1184" s="4" t="s">
        <v>15</v>
      </c>
      <c r="G1184" s="7">
        <v>28981370182.8164</v>
      </c>
    </row>
    <row ht="12.8" outlineLevel="0" r="1185">
      <c r="A1185" s="17">
        <v>43344</v>
      </c>
      <c r="B1185" s="4" t="s">
        <v>7</v>
      </c>
      <c r="C1185" s="4" t="s">
        <v>8</v>
      </c>
      <c r="D1185" s="4" t="s">
        <v>9</v>
      </c>
      <c r="E1185" s="4" t="s">
        <v>10</v>
      </c>
      <c r="F1185" s="4" t="s">
        <v>11</v>
      </c>
      <c r="G1185" s="7">
        <v>340270423281.08</v>
      </c>
    </row>
    <row ht="12.8" outlineLevel="0" r="1186">
      <c r="A1186" s="17">
        <v>43344</v>
      </c>
      <c r="B1186" s="4" t="s">
        <v>12</v>
      </c>
      <c r="C1186" s="4" t="s">
        <v>8</v>
      </c>
      <c r="D1186" s="4" t="s">
        <v>9</v>
      </c>
      <c r="E1186" s="4" t="s">
        <v>10</v>
      </c>
      <c r="F1186" s="4" t="s">
        <v>11</v>
      </c>
      <c r="G1186" s="7">
        <v>592372705890</v>
      </c>
    </row>
    <row ht="12.8" outlineLevel="0" r="1187">
      <c r="A1187" s="17">
        <v>43344</v>
      </c>
      <c r="B1187" s="4" t="s">
        <v>26</v>
      </c>
      <c r="C1187" s="4" t="s">
        <v>27</v>
      </c>
      <c r="D1187" s="4" t="s">
        <v>28</v>
      </c>
      <c r="E1187" s="4" t="s">
        <v>10</v>
      </c>
      <c r="F1187" s="4" t="s">
        <v>11</v>
      </c>
      <c r="G1187" s="7">
        <v>328182484482</v>
      </c>
    </row>
    <row ht="12.8" outlineLevel="0" r="1188">
      <c r="A1188" s="17">
        <v>43344</v>
      </c>
      <c r="B1188" s="4" t="s">
        <v>29</v>
      </c>
      <c r="C1188" s="4" t="s">
        <v>30</v>
      </c>
      <c r="D1188" s="4" t="s">
        <v>31</v>
      </c>
      <c r="E1188" s="4" t="s">
        <v>10</v>
      </c>
      <c r="F1188" s="4" t="s">
        <v>11</v>
      </c>
      <c r="G1188" s="7">
        <v>366261169940</v>
      </c>
    </row>
    <row ht="12.8" outlineLevel="0" r="1189">
      <c r="A1189" s="17">
        <v>43344</v>
      </c>
      <c r="B1189" s="4" t="s">
        <v>13</v>
      </c>
      <c r="C1189" s="4" t="s">
        <v>8</v>
      </c>
      <c r="D1189" s="4" t="s">
        <v>9</v>
      </c>
      <c r="E1189" s="4" t="s">
        <v>10</v>
      </c>
      <c r="F1189" s="4" t="s">
        <v>11</v>
      </c>
      <c r="G1189" s="7">
        <v>328291709116.67</v>
      </c>
    </row>
    <row ht="12.8" outlineLevel="0" r="1190">
      <c r="A1190" s="17">
        <v>43344</v>
      </c>
      <c r="B1190" s="4" t="s">
        <v>22</v>
      </c>
      <c r="C1190" s="4" t="s">
        <v>23</v>
      </c>
      <c r="D1190" s="4" t="s">
        <v>24</v>
      </c>
      <c r="E1190" s="4" t="s">
        <v>10</v>
      </c>
      <c r="F1190" s="4" t="s">
        <v>11</v>
      </c>
      <c r="G1190" s="7">
        <v>370646775988.87</v>
      </c>
    </row>
    <row ht="12.8" outlineLevel="0" r="1191">
      <c r="A1191" s="17">
        <v>43344</v>
      </c>
      <c r="B1191" s="4" t="s">
        <v>25</v>
      </c>
      <c r="C1191" s="4" t="s">
        <v>23</v>
      </c>
      <c r="D1191" s="4" t="s">
        <v>24</v>
      </c>
      <c r="E1191" s="4" t="s">
        <v>10</v>
      </c>
      <c r="F1191" s="4" t="s">
        <v>11</v>
      </c>
      <c r="G1191" s="7">
        <v>1041979152454.13</v>
      </c>
    </row>
    <row ht="12.8" outlineLevel="0" r="1192">
      <c r="A1192" s="17">
        <v>43344</v>
      </c>
      <c r="B1192" s="4" t="s">
        <v>32</v>
      </c>
      <c r="C1192" s="4" t="s">
        <v>33</v>
      </c>
      <c r="D1192" s="4" t="s">
        <v>34</v>
      </c>
      <c r="E1192" s="4" t="s">
        <v>10</v>
      </c>
      <c r="F1192" s="4" t="s">
        <v>11</v>
      </c>
      <c r="G1192" s="7">
        <v>42725597982.98</v>
      </c>
    </row>
    <row ht="12.8" outlineLevel="0" r="1193">
      <c r="A1193" s="17">
        <v>43344</v>
      </c>
      <c r="B1193" s="4" t="s">
        <v>35</v>
      </c>
      <c r="C1193" s="4" t="s">
        <v>36</v>
      </c>
      <c r="D1193" s="4" t="s">
        <v>37</v>
      </c>
      <c r="E1193" s="4" t="s">
        <v>10</v>
      </c>
      <c r="F1193" s="4" t="s">
        <v>11</v>
      </c>
      <c r="G1193" s="7">
        <v>80297386878</v>
      </c>
    </row>
    <row ht="12.8" outlineLevel="0" r="1194">
      <c r="A1194" s="17">
        <v>43344</v>
      </c>
      <c r="B1194" s="4" t="s">
        <v>25</v>
      </c>
      <c r="C1194" s="4" t="s">
        <v>23</v>
      </c>
      <c r="D1194" s="4" t="s">
        <v>24</v>
      </c>
      <c r="E1194" s="4" t="s">
        <v>14</v>
      </c>
      <c r="F1194" s="4" t="s">
        <v>15</v>
      </c>
      <c r="G1194" s="7">
        <v>684909726679.76</v>
      </c>
    </row>
    <row ht="12.8" outlineLevel="0" r="1195">
      <c r="A1195" s="17">
        <v>43344</v>
      </c>
      <c r="B1195" s="4" t="s">
        <v>7</v>
      </c>
      <c r="C1195" s="4" t="s">
        <v>8</v>
      </c>
      <c r="D1195" s="4" t="s">
        <v>9</v>
      </c>
      <c r="E1195" s="4" t="s">
        <v>18</v>
      </c>
      <c r="F1195" s="4" t="s">
        <v>19</v>
      </c>
      <c r="G1195" s="7">
        <v>245281068798.23</v>
      </c>
    </row>
    <row ht="12.8" outlineLevel="0" r="1196">
      <c r="A1196" s="17">
        <v>43344</v>
      </c>
      <c r="B1196" s="4" t="s">
        <v>12</v>
      </c>
      <c r="C1196" s="4" t="s">
        <v>8</v>
      </c>
      <c r="D1196" s="4" t="s">
        <v>9</v>
      </c>
      <c r="E1196" s="4" t="s">
        <v>18</v>
      </c>
      <c r="F1196" s="4" t="s">
        <v>19</v>
      </c>
      <c r="G1196" s="7">
        <v>411618525441.59</v>
      </c>
    </row>
    <row ht="12.8" outlineLevel="0" r="1197">
      <c r="A1197" s="17">
        <v>43344</v>
      </c>
      <c r="B1197" s="4" t="s">
        <v>26</v>
      </c>
      <c r="C1197" s="4" t="s">
        <v>27</v>
      </c>
      <c r="D1197" s="4" t="s">
        <v>28</v>
      </c>
      <c r="E1197" s="4" t="s">
        <v>18</v>
      </c>
      <c r="F1197" s="4" t="s">
        <v>19</v>
      </c>
      <c r="G1197" s="7">
        <v>226934162569.214</v>
      </c>
    </row>
    <row ht="12.8" outlineLevel="0" r="1198">
      <c r="A1198" s="17">
        <v>43344</v>
      </c>
      <c r="B1198" s="4" t="s">
        <v>29</v>
      </c>
      <c r="C1198" s="4" t="s">
        <v>30</v>
      </c>
      <c r="D1198" s="4" t="s">
        <v>31</v>
      </c>
      <c r="E1198" s="4" t="s">
        <v>18</v>
      </c>
      <c r="F1198" s="4" t="s">
        <v>19</v>
      </c>
      <c r="G1198" s="7">
        <v>239185038287.49</v>
      </c>
    </row>
    <row ht="12.8" outlineLevel="0" r="1199">
      <c r="A1199" s="17">
        <v>43344</v>
      </c>
      <c r="B1199" s="4" t="s">
        <v>13</v>
      </c>
      <c r="C1199" s="4" t="s">
        <v>8</v>
      </c>
      <c r="D1199" s="4" t="s">
        <v>9</v>
      </c>
      <c r="E1199" s="4" t="s">
        <v>18</v>
      </c>
      <c r="F1199" s="4" t="s">
        <v>19</v>
      </c>
      <c r="G1199" s="7">
        <v>201933935853.993</v>
      </c>
    </row>
    <row ht="12.8" outlineLevel="0" r="1200">
      <c r="A1200" s="17">
        <v>43344</v>
      </c>
      <c r="B1200" s="4" t="s">
        <v>22</v>
      </c>
      <c r="C1200" s="4" t="s">
        <v>23</v>
      </c>
      <c r="D1200" s="4" t="s">
        <v>24</v>
      </c>
      <c r="E1200" s="4" t="s">
        <v>18</v>
      </c>
      <c r="F1200" s="4" t="s">
        <v>19</v>
      </c>
      <c r="G1200" s="7">
        <v>321900264452.41</v>
      </c>
    </row>
    <row ht="12.8" outlineLevel="0" r="1201">
      <c r="A1201" s="17">
        <v>43344</v>
      </c>
      <c r="B1201" s="4" t="s">
        <v>25</v>
      </c>
      <c r="C1201" s="4" t="s">
        <v>23</v>
      </c>
      <c r="D1201" s="4" t="s">
        <v>24</v>
      </c>
      <c r="E1201" s="4" t="s">
        <v>18</v>
      </c>
      <c r="F1201" s="4" t="s">
        <v>19</v>
      </c>
      <c r="G1201" s="7">
        <v>341447420209.86</v>
      </c>
    </row>
    <row ht="12.8" outlineLevel="0" r="1202">
      <c r="A1202" s="17">
        <v>43344</v>
      </c>
      <c r="B1202" s="4" t="s">
        <v>32</v>
      </c>
      <c r="C1202" s="4" t="s">
        <v>33</v>
      </c>
      <c r="D1202" s="4" t="s">
        <v>34</v>
      </c>
      <c r="E1202" s="4" t="s">
        <v>18</v>
      </c>
      <c r="F1202" s="4" t="s">
        <v>19</v>
      </c>
      <c r="G1202" s="7">
        <v>8364439685.0544</v>
      </c>
    </row>
    <row ht="12.8" outlineLevel="0" r="1203">
      <c r="A1203" s="17">
        <v>43344</v>
      </c>
      <c r="B1203" s="4" t="s">
        <v>35</v>
      </c>
      <c r="C1203" s="4" t="s">
        <v>36</v>
      </c>
      <c r="D1203" s="4" t="s">
        <v>37</v>
      </c>
      <c r="E1203" s="4" t="s">
        <v>18</v>
      </c>
      <c r="F1203" s="4" t="s">
        <v>19</v>
      </c>
      <c r="G1203" s="7">
        <v>41740376315.17</v>
      </c>
    </row>
    <row ht="12.8" outlineLevel="0" r="1204">
      <c r="A1204" s="17">
        <v>43344</v>
      </c>
      <c r="B1204" s="4" t="s">
        <v>7</v>
      </c>
      <c r="C1204" s="4" t="s">
        <v>8</v>
      </c>
      <c r="D1204" s="4" t="s">
        <v>9</v>
      </c>
      <c r="E1204" s="4" t="s">
        <v>16</v>
      </c>
      <c r="F1204" s="4" t="s">
        <v>17</v>
      </c>
      <c r="G1204" s="7">
        <v>245287323717.06</v>
      </c>
    </row>
    <row ht="12.8" outlineLevel="0" r="1205">
      <c r="A1205" s="17">
        <v>43344</v>
      </c>
      <c r="B1205" s="4" t="s">
        <v>12</v>
      </c>
      <c r="C1205" s="4" t="s">
        <v>8</v>
      </c>
      <c r="D1205" s="4" t="s">
        <v>9</v>
      </c>
      <c r="E1205" s="4" t="s">
        <v>16</v>
      </c>
      <c r="F1205" s="4" t="s">
        <v>17</v>
      </c>
      <c r="G1205" s="7">
        <v>431606491337.01</v>
      </c>
    </row>
    <row ht="12.8" outlineLevel="0" r="1206">
      <c r="A1206" s="17">
        <v>43344</v>
      </c>
      <c r="B1206" s="4" t="s">
        <v>26</v>
      </c>
      <c r="C1206" s="4" t="s">
        <v>27</v>
      </c>
      <c r="D1206" s="4" t="s">
        <v>28</v>
      </c>
      <c r="E1206" s="4" t="s">
        <v>16</v>
      </c>
      <c r="F1206" s="4" t="s">
        <v>17</v>
      </c>
      <c r="G1206" s="7">
        <v>228441291889.264</v>
      </c>
    </row>
    <row ht="12.8" outlineLevel="0" r="1207">
      <c r="A1207" s="17">
        <v>43344</v>
      </c>
      <c r="B1207" s="4" t="s">
        <v>29</v>
      </c>
      <c r="C1207" s="4" t="s">
        <v>30</v>
      </c>
      <c r="D1207" s="4" t="s">
        <v>31</v>
      </c>
      <c r="E1207" s="4" t="s">
        <v>16</v>
      </c>
      <c r="F1207" s="4" t="s">
        <v>17</v>
      </c>
      <c r="G1207" s="7">
        <v>239185038287.49</v>
      </c>
    </row>
    <row ht="12.8" outlineLevel="0" r="1208">
      <c r="A1208" s="17">
        <v>43344</v>
      </c>
      <c r="B1208" s="4" t="s">
        <v>13</v>
      </c>
      <c r="C1208" s="4" t="s">
        <v>8</v>
      </c>
      <c r="D1208" s="4" t="s">
        <v>9</v>
      </c>
      <c r="E1208" s="4" t="s">
        <v>16</v>
      </c>
      <c r="F1208" s="4" t="s">
        <v>17</v>
      </c>
      <c r="G1208" s="7">
        <v>205287919936.905</v>
      </c>
    </row>
    <row ht="12.8" outlineLevel="0" r="1209">
      <c r="A1209" s="17">
        <v>43344</v>
      </c>
      <c r="B1209" s="4" t="s">
        <v>22</v>
      </c>
      <c r="C1209" s="4" t="s">
        <v>23</v>
      </c>
      <c r="D1209" s="4" t="s">
        <v>24</v>
      </c>
      <c r="E1209" s="4" t="s">
        <v>16</v>
      </c>
      <c r="F1209" s="4" t="s">
        <v>17</v>
      </c>
      <c r="G1209" s="7">
        <v>321900264452.41</v>
      </c>
    </row>
    <row ht="12.8" outlineLevel="0" r="1210">
      <c r="A1210" s="17">
        <v>43344</v>
      </c>
      <c r="B1210" s="4" t="s">
        <v>25</v>
      </c>
      <c r="C1210" s="4" t="s">
        <v>23</v>
      </c>
      <c r="D1210" s="4" t="s">
        <v>24</v>
      </c>
      <c r="E1210" s="4" t="s">
        <v>16</v>
      </c>
      <c r="F1210" s="4" t="s">
        <v>17</v>
      </c>
      <c r="G1210" s="7">
        <v>341447420209.86</v>
      </c>
    </row>
    <row ht="12.8" outlineLevel="0" r="1211">
      <c r="A1211" s="17">
        <v>43344</v>
      </c>
      <c r="B1211" s="4" t="s">
        <v>32</v>
      </c>
      <c r="C1211" s="4" t="s">
        <v>33</v>
      </c>
      <c r="D1211" s="4" t="s">
        <v>34</v>
      </c>
      <c r="E1211" s="4" t="s">
        <v>16</v>
      </c>
      <c r="F1211" s="4" t="s">
        <v>17</v>
      </c>
      <c r="G1211" s="7">
        <v>8827201075.1392</v>
      </c>
    </row>
    <row ht="12.8" outlineLevel="0" r="1212">
      <c r="A1212" s="17">
        <v>43344</v>
      </c>
      <c r="B1212" s="4" t="s">
        <v>35</v>
      </c>
      <c r="C1212" s="4" t="s">
        <v>36</v>
      </c>
      <c r="D1212" s="4" t="s">
        <v>37</v>
      </c>
      <c r="E1212" s="4" t="s">
        <v>16</v>
      </c>
      <c r="F1212" s="4" t="s">
        <v>17</v>
      </c>
      <c r="G1212" s="7">
        <v>41750393362.76</v>
      </c>
    </row>
    <row ht="12.8" outlineLevel="0" r="1213">
      <c r="A1213" s="17">
        <v>43313</v>
      </c>
      <c r="B1213" s="4" t="s">
        <v>29</v>
      </c>
      <c r="C1213" s="4" t="s">
        <v>30</v>
      </c>
      <c r="D1213" s="4" t="s">
        <v>31</v>
      </c>
      <c r="E1213" s="4" t="s">
        <v>14</v>
      </c>
      <c r="F1213" s="4" t="s">
        <v>15</v>
      </c>
      <c r="G1213" s="7">
        <v>349807494473.63</v>
      </c>
    </row>
    <row ht="12.8" outlineLevel="0" r="1214">
      <c r="A1214" s="17">
        <v>43313</v>
      </c>
      <c r="B1214" s="4" t="s">
        <v>7</v>
      </c>
      <c r="C1214" s="4" t="s">
        <v>8</v>
      </c>
      <c r="D1214" s="4" t="s">
        <v>9</v>
      </c>
      <c r="E1214" s="4" t="s">
        <v>14</v>
      </c>
      <c r="F1214" s="4" t="s">
        <v>15</v>
      </c>
      <c r="G1214" s="7">
        <v>311024142864.39</v>
      </c>
    </row>
    <row ht="12.8" outlineLevel="0" r="1215">
      <c r="A1215" s="17">
        <v>43313</v>
      </c>
      <c r="B1215" s="4" t="s">
        <v>38</v>
      </c>
      <c r="C1215" s="4" t="s">
        <v>39</v>
      </c>
      <c r="D1215" s="4" t="s">
        <v>40</v>
      </c>
      <c r="E1215" s="4" t="s">
        <v>10</v>
      </c>
      <c r="F1215" s="4" t="s">
        <v>11</v>
      </c>
      <c r="G1215" s="7">
        <v>19323661720</v>
      </c>
    </row>
    <row ht="12.8" outlineLevel="0" r="1216">
      <c r="A1216" s="17">
        <v>43313</v>
      </c>
      <c r="B1216" s="4" t="s">
        <v>26</v>
      </c>
      <c r="C1216" s="4" t="s">
        <v>27</v>
      </c>
      <c r="D1216" s="4" t="s">
        <v>28</v>
      </c>
      <c r="E1216" s="4" t="s">
        <v>14</v>
      </c>
      <c r="F1216" s="4" t="s">
        <v>15</v>
      </c>
      <c r="G1216" s="7">
        <v>273444914934.354</v>
      </c>
    </row>
    <row ht="12.8" outlineLevel="0" r="1217">
      <c r="A1217" s="17">
        <v>43313</v>
      </c>
      <c r="B1217" s="4" t="s">
        <v>12</v>
      </c>
      <c r="C1217" s="4" t="s">
        <v>8</v>
      </c>
      <c r="D1217" s="4" t="s">
        <v>9</v>
      </c>
      <c r="E1217" s="4" t="s">
        <v>14</v>
      </c>
      <c r="F1217" s="4" t="s">
        <v>15</v>
      </c>
      <c r="G1217" s="7">
        <v>502743539755.07</v>
      </c>
    </row>
    <row ht="12.8" outlineLevel="0" r="1218">
      <c r="A1218" s="17">
        <v>43313</v>
      </c>
      <c r="B1218" s="4" t="s">
        <v>35</v>
      </c>
      <c r="C1218" s="4" t="s">
        <v>36</v>
      </c>
      <c r="D1218" s="4" t="s">
        <v>37</v>
      </c>
      <c r="E1218" s="4" t="s">
        <v>14</v>
      </c>
      <c r="F1218" s="4" t="s">
        <v>15</v>
      </c>
      <c r="G1218" s="7">
        <v>61740422441.04</v>
      </c>
    </row>
    <row ht="12.8" outlineLevel="0" r="1219">
      <c r="A1219" s="17">
        <v>43313</v>
      </c>
      <c r="B1219" s="4" t="s">
        <v>22</v>
      </c>
      <c r="C1219" s="4" t="s">
        <v>23</v>
      </c>
      <c r="D1219" s="4" t="s">
        <v>24</v>
      </c>
      <c r="E1219" s="4" t="s">
        <v>14</v>
      </c>
      <c r="F1219" s="4" t="s">
        <v>15</v>
      </c>
      <c r="G1219" s="7">
        <v>330638574073.87</v>
      </c>
    </row>
    <row ht="12.8" outlineLevel="0" r="1220">
      <c r="A1220" s="17">
        <v>43313</v>
      </c>
      <c r="B1220" s="4" t="s">
        <v>13</v>
      </c>
      <c r="C1220" s="4" t="s">
        <v>8</v>
      </c>
      <c r="D1220" s="4" t="s">
        <v>9</v>
      </c>
      <c r="E1220" s="4" t="s">
        <v>14</v>
      </c>
      <c r="F1220" s="4" t="s">
        <v>15</v>
      </c>
      <c r="G1220" s="7">
        <v>256156829367.809</v>
      </c>
    </row>
    <row ht="12.8" outlineLevel="0" r="1221">
      <c r="A1221" s="17">
        <v>43313</v>
      </c>
      <c r="B1221" s="4" t="s">
        <v>32</v>
      </c>
      <c r="C1221" s="4" t="s">
        <v>33</v>
      </c>
      <c r="D1221" s="4" t="s">
        <v>34</v>
      </c>
      <c r="E1221" s="4" t="s">
        <v>14</v>
      </c>
      <c r="F1221" s="4" t="s">
        <v>15</v>
      </c>
      <c r="G1221" s="7">
        <v>27321189308.183</v>
      </c>
    </row>
    <row ht="12.8" outlineLevel="0" r="1222">
      <c r="A1222" s="17">
        <v>43313</v>
      </c>
      <c r="B1222" s="4" t="s">
        <v>7</v>
      </c>
      <c r="C1222" s="4" t="s">
        <v>8</v>
      </c>
      <c r="D1222" s="4" t="s">
        <v>9</v>
      </c>
      <c r="E1222" s="4" t="s">
        <v>10</v>
      </c>
      <c r="F1222" s="4" t="s">
        <v>11</v>
      </c>
      <c r="G1222" s="7">
        <v>340130613220.36</v>
      </c>
    </row>
    <row ht="12.8" outlineLevel="0" r="1223">
      <c r="A1223" s="17">
        <v>43313</v>
      </c>
      <c r="B1223" s="4" t="s">
        <v>12</v>
      </c>
      <c r="C1223" s="4" t="s">
        <v>8</v>
      </c>
      <c r="D1223" s="4" t="s">
        <v>9</v>
      </c>
      <c r="E1223" s="4" t="s">
        <v>10</v>
      </c>
      <c r="F1223" s="4" t="s">
        <v>11</v>
      </c>
      <c r="G1223" s="7">
        <v>592372705890</v>
      </c>
    </row>
    <row ht="12.8" outlineLevel="0" r="1224">
      <c r="A1224" s="17">
        <v>43313</v>
      </c>
      <c r="B1224" s="4" t="s">
        <v>26</v>
      </c>
      <c r="C1224" s="4" t="s">
        <v>27</v>
      </c>
      <c r="D1224" s="4" t="s">
        <v>28</v>
      </c>
      <c r="E1224" s="4" t="s">
        <v>10</v>
      </c>
      <c r="F1224" s="4" t="s">
        <v>11</v>
      </c>
      <c r="G1224" s="7">
        <v>328180910587</v>
      </c>
    </row>
    <row ht="12.8" outlineLevel="0" r="1225">
      <c r="A1225" s="17">
        <v>43313</v>
      </c>
      <c r="B1225" s="4" t="s">
        <v>29</v>
      </c>
      <c r="C1225" s="4" t="s">
        <v>30</v>
      </c>
      <c r="D1225" s="4" t="s">
        <v>31</v>
      </c>
      <c r="E1225" s="4" t="s">
        <v>10</v>
      </c>
      <c r="F1225" s="4" t="s">
        <v>11</v>
      </c>
      <c r="G1225" s="7">
        <v>366261169940</v>
      </c>
    </row>
    <row ht="12.8" outlineLevel="0" r="1226">
      <c r="A1226" s="17">
        <v>43313</v>
      </c>
      <c r="B1226" s="4" t="s">
        <v>13</v>
      </c>
      <c r="C1226" s="4" t="s">
        <v>8</v>
      </c>
      <c r="D1226" s="4" t="s">
        <v>9</v>
      </c>
      <c r="E1226" s="4" t="s">
        <v>10</v>
      </c>
      <c r="F1226" s="4" t="s">
        <v>11</v>
      </c>
      <c r="G1226" s="7">
        <v>328313706391.17</v>
      </c>
    </row>
    <row ht="12.8" outlineLevel="0" r="1227">
      <c r="A1227" s="17">
        <v>43313</v>
      </c>
      <c r="B1227" s="4" t="s">
        <v>22</v>
      </c>
      <c r="C1227" s="4" t="s">
        <v>23</v>
      </c>
      <c r="D1227" s="4" t="s">
        <v>24</v>
      </c>
      <c r="E1227" s="4" t="s">
        <v>10</v>
      </c>
      <c r="F1227" s="4" t="s">
        <v>11</v>
      </c>
      <c r="G1227" s="7">
        <v>370546775988.87</v>
      </c>
    </row>
    <row ht="12.8" outlineLevel="0" r="1228">
      <c r="A1228" s="17">
        <v>43313</v>
      </c>
      <c r="B1228" s="4" t="s">
        <v>25</v>
      </c>
      <c r="C1228" s="4" t="s">
        <v>23</v>
      </c>
      <c r="D1228" s="4" t="s">
        <v>24</v>
      </c>
      <c r="E1228" s="4" t="s">
        <v>10</v>
      </c>
      <c r="F1228" s="4" t="s">
        <v>11</v>
      </c>
      <c r="G1228" s="7">
        <v>1042079152454.13</v>
      </c>
    </row>
    <row ht="12.8" outlineLevel="0" r="1229">
      <c r="A1229" s="17">
        <v>43313</v>
      </c>
      <c r="B1229" s="4" t="s">
        <v>32</v>
      </c>
      <c r="C1229" s="4" t="s">
        <v>33</v>
      </c>
      <c r="D1229" s="4" t="s">
        <v>34</v>
      </c>
      <c r="E1229" s="4" t="s">
        <v>10</v>
      </c>
      <c r="F1229" s="4" t="s">
        <v>11</v>
      </c>
      <c r="G1229" s="7">
        <v>42772284665</v>
      </c>
    </row>
    <row ht="12.8" outlineLevel="0" r="1230">
      <c r="A1230" s="17">
        <v>43313</v>
      </c>
      <c r="B1230" s="4" t="s">
        <v>35</v>
      </c>
      <c r="C1230" s="4" t="s">
        <v>36</v>
      </c>
      <c r="D1230" s="4" t="s">
        <v>37</v>
      </c>
      <c r="E1230" s="4" t="s">
        <v>10</v>
      </c>
      <c r="F1230" s="4" t="s">
        <v>11</v>
      </c>
      <c r="G1230" s="7">
        <v>80370086878</v>
      </c>
    </row>
    <row ht="12.8" outlineLevel="0" r="1231">
      <c r="A1231" s="17">
        <v>43313</v>
      </c>
      <c r="B1231" s="4" t="s">
        <v>25</v>
      </c>
      <c r="C1231" s="4" t="s">
        <v>23</v>
      </c>
      <c r="D1231" s="4" t="s">
        <v>24</v>
      </c>
      <c r="E1231" s="4" t="s">
        <v>14</v>
      </c>
      <c r="F1231" s="4" t="s">
        <v>15</v>
      </c>
      <c r="G1231" s="7">
        <v>684541277025.85</v>
      </c>
    </row>
    <row ht="12.8" outlineLevel="0" r="1232">
      <c r="A1232" s="17">
        <v>43313</v>
      </c>
      <c r="B1232" s="4" t="s">
        <v>7</v>
      </c>
      <c r="C1232" s="4" t="s">
        <v>8</v>
      </c>
      <c r="D1232" s="4" t="s">
        <v>9</v>
      </c>
      <c r="E1232" s="4" t="s">
        <v>18</v>
      </c>
      <c r="F1232" s="4" t="s">
        <v>19</v>
      </c>
      <c r="G1232" s="7">
        <v>222839110628.19</v>
      </c>
    </row>
    <row ht="12.8" outlineLevel="0" r="1233">
      <c r="A1233" s="17">
        <v>43313</v>
      </c>
      <c r="B1233" s="4" t="s">
        <v>12</v>
      </c>
      <c r="C1233" s="4" t="s">
        <v>8</v>
      </c>
      <c r="D1233" s="4" t="s">
        <v>9</v>
      </c>
      <c r="E1233" s="4" t="s">
        <v>18</v>
      </c>
      <c r="F1233" s="4" t="s">
        <v>19</v>
      </c>
      <c r="G1233" s="7">
        <v>358224829092.93</v>
      </c>
    </row>
    <row ht="12.8" outlineLevel="0" r="1234">
      <c r="A1234" s="17">
        <v>43313</v>
      </c>
      <c r="B1234" s="4" t="s">
        <v>26</v>
      </c>
      <c r="C1234" s="4" t="s">
        <v>27</v>
      </c>
      <c r="D1234" s="4" t="s">
        <v>28</v>
      </c>
      <c r="E1234" s="4" t="s">
        <v>18</v>
      </c>
      <c r="F1234" s="4" t="s">
        <v>19</v>
      </c>
      <c r="G1234" s="7">
        <v>203037554245.388</v>
      </c>
    </row>
    <row ht="12.8" outlineLevel="0" r="1235">
      <c r="A1235" s="17">
        <v>43313</v>
      </c>
      <c r="B1235" s="4" t="s">
        <v>29</v>
      </c>
      <c r="C1235" s="4" t="s">
        <v>30</v>
      </c>
      <c r="D1235" s="4" t="s">
        <v>31</v>
      </c>
      <c r="E1235" s="4" t="s">
        <v>18</v>
      </c>
      <c r="F1235" s="4" t="s">
        <v>19</v>
      </c>
      <c r="G1235" s="7">
        <v>220202697220.83</v>
      </c>
    </row>
    <row ht="12.8" outlineLevel="0" r="1236">
      <c r="A1236" s="17">
        <v>43313</v>
      </c>
      <c r="B1236" s="4" t="s">
        <v>13</v>
      </c>
      <c r="C1236" s="4" t="s">
        <v>8</v>
      </c>
      <c r="D1236" s="4" t="s">
        <v>9</v>
      </c>
      <c r="E1236" s="4" t="s">
        <v>18</v>
      </c>
      <c r="F1236" s="4" t="s">
        <v>19</v>
      </c>
      <c r="G1236" s="7">
        <v>178744677718.585</v>
      </c>
    </row>
    <row ht="12.8" outlineLevel="0" r="1237">
      <c r="A1237" s="17">
        <v>43313</v>
      </c>
      <c r="B1237" s="4" t="s">
        <v>22</v>
      </c>
      <c r="C1237" s="4" t="s">
        <v>23</v>
      </c>
      <c r="D1237" s="4" t="s">
        <v>24</v>
      </c>
      <c r="E1237" s="4" t="s">
        <v>18</v>
      </c>
      <c r="F1237" s="4" t="s">
        <v>19</v>
      </c>
      <c r="G1237" s="7">
        <v>284365105681.33</v>
      </c>
    </row>
    <row ht="12.8" outlineLevel="0" r="1238">
      <c r="A1238" s="17">
        <v>43313</v>
      </c>
      <c r="B1238" s="4" t="s">
        <v>25</v>
      </c>
      <c r="C1238" s="4" t="s">
        <v>23</v>
      </c>
      <c r="D1238" s="4" t="s">
        <v>24</v>
      </c>
      <c r="E1238" s="4" t="s">
        <v>18</v>
      </c>
      <c r="F1238" s="4" t="s">
        <v>19</v>
      </c>
      <c r="G1238" s="7">
        <v>313015611190.65</v>
      </c>
    </row>
    <row ht="12.8" outlineLevel="0" r="1239">
      <c r="A1239" s="17">
        <v>43313</v>
      </c>
      <c r="B1239" s="4" t="s">
        <v>32</v>
      </c>
      <c r="C1239" s="4" t="s">
        <v>33</v>
      </c>
      <c r="D1239" s="4" t="s">
        <v>34</v>
      </c>
      <c r="E1239" s="4" t="s">
        <v>18</v>
      </c>
      <c r="F1239" s="4" t="s">
        <v>19</v>
      </c>
      <c r="G1239" s="7">
        <v>6837854922.723</v>
      </c>
    </row>
    <row ht="12.8" outlineLevel="0" r="1240">
      <c r="A1240" s="17">
        <v>43313</v>
      </c>
      <c r="B1240" s="4" t="s">
        <v>35</v>
      </c>
      <c r="C1240" s="4" t="s">
        <v>36</v>
      </c>
      <c r="D1240" s="4" t="s">
        <v>37</v>
      </c>
      <c r="E1240" s="4" t="s">
        <v>18</v>
      </c>
      <c r="F1240" s="4" t="s">
        <v>19</v>
      </c>
      <c r="G1240" s="7">
        <v>37458276576.78</v>
      </c>
    </row>
    <row ht="12.8" outlineLevel="0" r="1241">
      <c r="A1241" s="17">
        <v>43313</v>
      </c>
      <c r="B1241" s="4" t="s">
        <v>7</v>
      </c>
      <c r="C1241" s="4" t="s">
        <v>8</v>
      </c>
      <c r="D1241" s="4" t="s">
        <v>9</v>
      </c>
      <c r="E1241" s="4" t="s">
        <v>16</v>
      </c>
      <c r="F1241" s="4" t="s">
        <v>17</v>
      </c>
      <c r="G1241" s="7">
        <v>222864527619.6</v>
      </c>
    </row>
    <row ht="12.8" outlineLevel="0" r="1242">
      <c r="A1242" s="17">
        <v>43313</v>
      </c>
      <c r="B1242" s="4" t="s">
        <v>12</v>
      </c>
      <c r="C1242" s="4" t="s">
        <v>8</v>
      </c>
      <c r="D1242" s="4" t="s">
        <v>9</v>
      </c>
      <c r="E1242" s="4" t="s">
        <v>16</v>
      </c>
      <c r="F1242" s="4" t="s">
        <v>17</v>
      </c>
      <c r="G1242" s="7">
        <v>386261263335.09</v>
      </c>
    </row>
    <row ht="12.8" outlineLevel="0" r="1243">
      <c r="A1243" s="17">
        <v>43313</v>
      </c>
      <c r="B1243" s="4" t="s">
        <v>26</v>
      </c>
      <c r="C1243" s="4" t="s">
        <v>27</v>
      </c>
      <c r="D1243" s="4" t="s">
        <v>28</v>
      </c>
      <c r="E1243" s="4" t="s">
        <v>16</v>
      </c>
      <c r="F1243" s="4" t="s">
        <v>17</v>
      </c>
      <c r="G1243" s="7">
        <v>204458274326.06</v>
      </c>
    </row>
    <row ht="12.8" outlineLevel="0" r="1244">
      <c r="A1244" s="17">
        <v>43313</v>
      </c>
      <c r="B1244" s="4" t="s">
        <v>29</v>
      </c>
      <c r="C1244" s="4" t="s">
        <v>30</v>
      </c>
      <c r="D1244" s="4" t="s">
        <v>31</v>
      </c>
      <c r="E1244" s="4" t="s">
        <v>16</v>
      </c>
      <c r="F1244" s="4" t="s">
        <v>17</v>
      </c>
      <c r="G1244" s="7">
        <v>220202697220.83</v>
      </c>
    </row>
    <row ht="12.8" outlineLevel="0" r="1245">
      <c r="A1245" s="17">
        <v>43313</v>
      </c>
      <c r="B1245" s="4" t="s">
        <v>13</v>
      </c>
      <c r="C1245" s="4" t="s">
        <v>8</v>
      </c>
      <c r="D1245" s="4" t="s">
        <v>9</v>
      </c>
      <c r="E1245" s="4" t="s">
        <v>16</v>
      </c>
      <c r="F1245" s="4" t="s">
        <v>17</v>
      </c>
      <c r="G1245" s="7">
        <v>182533592909.799</v>
      </c>
    </row>
    <row ht="12.8" outlineLevel="0" r="1246">
      <c r="A1246" s="17">
        <v>43313</v>
      </c>
      <c r="B1246" s="4" t="s">
        <v>22</v>
      </c>
      <c r="C1246" s="4" t="s">
        <v>23</v>
      </c>
      <c r="D1246" s="4" t="s">
        <v>24</v>
      </c>
      <c r="E1246" s="4" t="s">
        <v>16</v>
      </c>
      <c r="F1246" s="4" t="s">
        <v>17</v>
      </c>
      <c r="G1246" s="7">
        <v>284365105681.33</v>
      </c>
    </row>
    <row ht="12.8" outlineLevel="0" r="1247">
      <c r="A1247" s="17">
        <v>43313</v>
      </c>
      <c r="B1247" s="4" t="s">
        <v>25</v>
      </c>
      <c r="C1247" s="4" t="s">
        <v>23</v>
      </c>
      <c r="D1247" s="4" t="s">
        <v>24</v>
      </c>
      <c r="E1247" s="4" t="s">
        <v>16</v>
      </c>
      <c r="F1247" s="4" t="s">
        <v>17</v>
      </c>
      <c r="G1247" s="7">
        <v>313015611190.65</v>
      </c>
    </row>
    <row ht="12.8" outlineLevel="0" r="1248">
      <c r="A1248" s="17">
        <v>43313</v>
      </c>
      <c r="B1248" s="4" t="s">
        <v>32</v>
      </c>
      <c r="C1248" s="4" t="s">
        <v>33</v>
      </c>
      <c r="D1248" s="4" t="s">
        <v>34</v>
      </c>
      <c r="E1248" s="4" t="s">
        <v>16</v>
      </c>
      <c r="F1248" s="4" t="s">
        <v>17</v>
      </c>
      <c r="G1248" s="7">
        <v>7304081718.413</v>
      </c>
    </row>
    <row ht="12.8" outlineLevel="0" r="1249">
      <c r="A1249" s="17">
        <v>43313</v>
      </c>
      <c r="B1249" s="4" t="s">
        <v>35</v>
      </c>
      <c r="C1249" s="4" t="s">
        <v>36</v>
      </c>
      <c r="D1249" s="4" t="s">
        <v>37</v>
      </c>
      <c r="E1249" s="4" t="s">
        <v>16</v>
      </c>
      <c r="F1249" s="4" t="s">
        <v>17</v>
      </c>
      <c r="G1249" s="7">
        <v>37769977827.76</v>
      </c>
    </row>
    <row ht="12.8" outlineLevel="0" r="1250">
      <c r="A1250" s="17">
        <v>43282</v>
      </c>
      <c r="B1250" s="4" t="s">
        <v>32</v>
      </c>
      <c r="C1250" s="4" t="s">
        <v>33</v>
      </c>
      <c r="D1250" s="4" t="s">
        <v>34</v>
      </c>
      <c r="E1250" s="4" t="s">
        <v>14</v>
      </c>
      <c r="F1250" s="4" t="s">
        <v>15</v>
      </c>
      <c r="G1250" s="7">
        <v>24789775179.6583</v>
      </c>
    </row>
    <row ht="12.8" outlineLevel="0" r="1251">
      <c r="A1251" s="17">
        <v>43282</v>
      </c>
      <c r="B1251" s="4" t="s">
        <v>35</v>
      </c>
      <c r="C1251" s="4" t="s">
        <v>36</v>
      </c>
      <c r="D1251" s="4" t="s">
        <v>37</v>
      </c>
      <c r="E1251" s="4" t="s">
        <v>14</v>
      </c>
      <c r="F1251" s="4" t="s">
        <v>15</v>
      </c>
      <c r="G1251" s="7">
        <v>60854629519.85</v>
      </c>
    </row>
    <row ht="12.8" outlineLevel="0" r="1252">
      <c r="A1252" s="17">
        <v>43282</v>
      </c>
      <c r="B1252" s="4" t="s">
        <v>12</v>
      </c>
      <c r="C1252" s="4" t="s">
        <v>8</v>
      </c>
      <c r="D1252" s="4" t="s">
        <v>9</v>
      </c>
      <c r="E1252" s="4" t="s">
        <v>14</v>
      </c>
      <c r="F1252" s="4" t="s">
        <v>15</v>
      </c>
      <c r="G1252" s="7">
        <v>486976724502.45</v>
      </c>
    </row>
    <row ht="12.8" outlineLevel="0" r="1253">
      <c r="A1253" s="17">
        <v>43282</v>
      </c>
      <c r="B1253" s="4" t="s">
        <v>13</v>
      </c>
      <c r="C1253" s="4" t="s">
        <v>8</v>
      </c>
      <c r="D1253" s="4" t="s">
        <v>9</v>
      </c>
      <c r="E1253" s="4" t="s">
        <v>14</v>
      </c>
      <c r="F1253" s="4" t="s">
        <v>15</v>
      </c>
      <c r="G1253" s="7">
        <v>245072478124.978</v>
      </c>
    </row>
    <row ht="12.8" outlineLevel="0" r="1254">
      <c r="A1254" s="17">
        <v>43282</v>
      </c>
      <c r="B1254" s="4" t="s">
        <v>26</v>
      </c>
      <c r="C1254" s="4" t="s">
        <v>27</v>
      </c>
      <c r="D1254" s="4" t="s">
        <v>28</v>
      </c>
      <c r="E1254" s="4" t="s">
        <v>16</v>
      </c>
      <c r="F1254" s="4" t="s">
        <v>17</v>
      </c>
      <c r="G1254" s="7">
        <v>179549852603.408</v>
      </c>
    </row>
    <row ht="12.8" outlineLevel="0" r="1255">
      <c r="A1255" s="17">
        <v>43282</v>
      </c>
      <c r="B1255" s="4" t="s">
        <v>29</v>
      </c>
      <c r="C1255" s="4" t="s">
        <v>30</v>
      </c>
      <c r="D1255" s="4" t="s">
        <v>31</v>
      </c>
      <c r="E1255" s="4" t="s">
        <v>16</v>
      </c>
      <c r="F1255" s="4" t="s">
        <v>17</v>
      </c>
      <c r="G1255" s="7">
        <v>199446151749.93</v>
      </c>
    </row>
    <row ht="12.8" outlineLevel="0" r="1256">
      <c r="A1256" s="17">
        <v>43282</v>
      </c>
      <c r="B1256" s="4" t="s">
        <v>22</v>
      </c>
      <c r="C1256" s="4" t="s">
        <v>23</v>
      </c>
      <c r="D1256" s="4" t="s">
        <v>24</v>
      </c>
      <c r="E1256" s="4" t="s">
        <v>14</v>
      </c>
      <c r="F1256" s="4" t="s">
        <v>15</v>
      </c>
      <c r="G1256" s="7">
        <v>317468057799.52</v>
      </c>
    </row>
    <row ht="12.8" outlineLevel="0" r="1257">
      <c r="A1257" s="17">
        <v>43282</v>
      </c>
      <c r="B1257" s="4" t="s">
        <v>25</v>
      </c>
      <c r="C1257" s="4" t="s">
        <v>23</v>
      </c>
      <c r="D1257" s="4" t="s">
        <v>24</v>
      </c>
      <c r="E1257" s="4" t="s">
        <v>14</v>
      </c>
      <c r="F1257" s="4" t="s">
        <v>15</v>
      </c>
      <c r="G1257" s="7">
        <v>683879640607.93</v>
      </c>
    </row>
    <row ht="12.8" outlineLevel="0" r="1258">
      <c r="A1258" s="17">
        <v>43282</v>
      </c>
      <c r="B1258" s="4" t="s">
        <v>22</v>
      </c>
      <c r="C1258" s="4" t="s">
        <v>23</v>
      </c>
      <c r="D1258" s="4" t="s">
        <v>24</v>
      </c>
      <c r="E1258" s="4" t="s">
        <v>10</v>
      </c>
      <c r="F1258" s="4" t="s">
        <v>11</v>
      </c>
      <c r="G1258" s="7">
        <v>370647706906.87</v>
      </c>
    </row>
    <row ht="12.8" outlineLevel="0" r="1259">
      <c r="A1259" s="17">
        <v>43282</v>
      </c>
      <c r="B1259" s="4" t="s">
        <v>25</v>
      </c>
      <c r="C1259" s="4" t="s">
        <v>23</v>
      </c>
      <c r="D1259" s="4" t="s">
        <v>24</v>
      </c>
      <c r="E1259" s="4" t="s">
        <v>10</v>
      </c>
      <c r="F1259" s="4" t="s">
        <v>11</v>
      </c>
      <c r="G1259" s="7">
        <v>1041978221536.13</v>
      </c>
    </row>
    <row ht="12.8" outlineLevel="0" r="1260">
      <c r="A1260" s="17">
        <v>43282</v>
      </c>
      <c r="B1260" s="4" t="s">
        <v>32</v>
      </c>
      <c r="C1260" s="4" t="s">
        <v>33</v>
      </c>
      <c r="D1260" s="4" t="s">
        <v>34</v>
      </c>
      <c r="E1260" s="4" t="s">
        <v>10</v>
      </c>
      <c r="F1260" s="4" t="s">
        <v>11</v>
      </c>
      <c r="G1260" s="7">
        <v>42603929091</v>
      </c>
    </row>
    <row ht="12.8" outlineLevel="0" r="1261">
      <c r="A1261" s="17">
        <v>43282</v>
      </c>
      <c r="B1261" s="4" t="s">
        <v>35</v>
      </c>
      <c r="C1261" s="4" t="s">
        <v>36</v>
      </c>
      <c r="D1261" s="4" t="s">
        <v>37</v>
      </c>
      <c r="E1261" s="4" t="s">
        <v>10</v>
      </c>
      <c r="F1261" s="4" t="s">
        <v>11</v>
      </c>
      <c r="G1261" s="7">
        <v>80062946878</v>
      </c>
    </row>
    <row ht="12.8" outlineLevel="0" r="1262">
      <c r="A1262" s="17">
        <v>43282</v>
      </c>
      <c r="B1262" s="4" t="s">
        <v>29</v>
      </c>
      <c r="C1262" s="4" t="s">
        <v>30</v>
      </c>
      <c r="D1262" s="4" t="s">
        <v>31</v>
      </c>
      <c r="E1262" s="4" t="s">
        <v>14</v>
      </c>
      <c r="F1262" s="4" t="s">
        <v>15</v>
      </c>
      <c r="G1262" s="7">
        <v>348983530478.31</v>
      </c>
    </row>
    <row ht="12.8" outlineLevel="0" r="1263">
      <c r="A1263" s="17">
        <v>43282</v>
      </c>
      <c r="B1263" s="4" t="s">
        <v>7</v>
      </c>
      <c r="C1263" s="4" t="s">
        <v>8</v>
      </c>
      <c r="D1263" s="4" t="s">
        <v>9</v>
      </c>
      <c r="E1263" s="4" t="s">
        <v>14</v>
      </c>
      <c r="F1263" s="4" t="s">
        <v>15</v>
      </c>
      <c r="G1263" s="7">
        <v>299931844437.4</v>
      </c>
    </row>
    <row ht="12.8" outlineLevel="0" r="1264">
      <c r="A1264" s="17">
        <v>43282</v>
      </c>
      <c r="B1264" s="4" t="s">
        <v>38</v>
      </c>
      <c r="C1264" s="4" t="s">
        <v>39</v>
      </c>
      <c r="D1264" s="4" t="s">
        <v>40</v>
      </c>
      <c r="E1264" s="4" t="s">
        <v>10</v>
      </c>
      <c r="F1264" s="4" t="s">
        <v>11</v>
      </c>
      <c r="G1264" s="7">
        <v>19323661720</v>
      </c>
    </row>
    <row ht="12.8" outlineLevel="0" r="1265">
      <c r="A1265" s="17">
        <v>43282</v>
      </c>
      <c r="B1265" s="4" t="s">
        <v>26</v>
      </c>
      <c r="C1265" s="4" t="s">
        <v>27</v>
      </c>
      <c r="D1265" s="4" t="s">
        <v>28</v>
      </c>
      <c r="E1265" s="4" t="s">
        <v>14</v>
      </c>
      <c r="F1265" s="4" t="s">
        <v>15</v>
      </c>
      <c r="G1265" s="7">
        <v>263282425836.498</v>
      </c>
    </row>
    <row ht="12.8" outlineLevel="0" r="1266">
      <c r="A1266" s="17">
        <v>43282</v>
      </c>
      <c r="B1266" s="4" t="s">
        <v>12</v>
      </c>
      <c r="C1266" s="4" t="s">
        <v>8</v>
      </c>
      <c r="D1266" s="4" t="s">
        <v>9</v>
      </c>
      <c r="E1266" s="4" t="s">
        <v>18</v>
      </c>
      <c r="F1266" s="4" t="s">
        <v>19</v>
      </c>
      <c r="G1266" s="7">
        <v>301088739052.51</v>
      </c>
    </row>
    <row ht="12.8" outlineLevel="0" r="1267">
      <c r="A1267" s="17">
        <v>43282</v>
      </c>
      <c r="B1267" s="4" t="s">
        <v>13</v>
      </c>
      <c r="C1267" s="4" t="s">
        <v>8</v>
      </c>
      <c r="D1267" s="4" t="s">
        <v>9</v>
      </c>
      <c r="E1267" s="4" t="s">
        <v>18</v>
      </c>
      <c r="F1267" s="4" t="s">
        <v>19</v>
      </c>
      <c r="G1267" s="7">
        <v>151784124965.916</v>
      </c>
    </row>
    <row ht="12.8" outlineLevel="0" r="1268">
      <c r="A1268" s="17">
        <v>43282</v>
      </c>
      <c r="B1268" s="4" t="s">
        <v>29</v>
      </c>
      <c r="C1268" s="4" t="s">
        <v>30</v>
      </c>
      <c r="D1268" s="4" t="s">
        <v>31</v>
      </c>
      <c r="E1268" s="4" t="s">
        <v>18</v>
      </c>
      <c r="F1268" s="4" t="s">
        <v>19</v>
      </c>
      <c r="G1268" s="7">
        <v>199446151749.93</v>
      </c>
    </row>
    <row ht="12.8" outlineLevel="0" r="1269">
      <c r="A1269" s="17">
        <v>43282</v>
      </c>
      <c r="B1269" s="4" t="s">
        <v>7</v>
      </c>
      <c r="C1269" s="4" t="s">
        <v>8</v>
      </c>
      <c r="D1269" s="4" t="s">
        <v>9</v>
      </c>
      <c r="E1269" s="4" t="s">
        <v>18</v>
      </c>
      <c r="F1269" s="4" t="s">
        <v>19</v>
      </c>
      <c r="G1269" s="7">
        <v>193373737848.54</v>
      </c>
    </row>
    <row ht="12.8" outlineLevel="0" r="1270">
      <c r="A1270" s="17">
        <v>43282</v>
      </c>
      <c r="B1270" s="4" t="s">
        <v>22</v>
      </c>
      <c r="C1270" s="4" t="s">
        <v>23</v>
      </c>
      <c r="D1270" s="4" t="s">
        <v>24</v>
      </c>
      <c r="E1270" s="4" t="s">
        <v>18</v>
      </c>
      <c r="F1270" s="4" t="s">
        <v>19</v>
      </c>
      <c r="G1270" s="7">
        <v>218331146035.73</v>
      </c>
    </row>
    <row ht="12.8" outlineLevel="0" r="1271">
      <c r="A1271" s="17">
        <v>43282</v>
      </c>
      <c r="B1271" s="4" t="s">
        <v>25</v>
      </c>
      <c r="C1271" s="4" t="s">
        <v>23</v>
      </c>
      <c r="D1271" s="4" t="s">
        <v>24</v>
      </c>
      <c r="E1271" s="4" t="s">
        <v>18</v>
      </c>
      <c r="F1271" s="4" t="s">
        <v>19</v>
      </c>
      <c r="G1271" s="7">
        <v>277121052161.03</v>
      </c>
    </row>
    <row ht="12.8" outlineLevel="0" r="1272">
      <c r="A1272" s="17">
        <v>43282</v>
      </c>
      <c r="B1272" s="4" t="s">
        <v>32</v>
      </c>
      <c r="C1272" s="4" t="s">
        <v>33</v>
      </c>
      <c r="D1272" s="4" t="s">
        <v>34</v>
      </c>
      <c r="E1272" s="4" t="s">
        <v>18</v>
      </c>
      <c r="F1272" s="4" t="s">
        <v>19</v>
      </c>
      <c r="G1272" s="7">
        <v>5141475920.1035</v>
      </c>
    </row>
    <row ht="12.8" outlineLevel="0" r="1273">
      <c r="A1273" s="17">
        <v>43282</v>
      </c>
      <c r="B1273" s="4" t="s">
        <v>35</v>
      </c>
      <c r="C1273" s="4" t="s">
        <v>36</v>
      </c>
      <c r="D1273" s="4" t="s">
        <v>37</v>
      </c>
      <c r="E1273" s="4" t="s">
        <v>18</v>
      </c>
      <c r="F1273" s="4" t="s">
        <v>19</v>
      </c>
      <c r="G1273" s="7">
        <v>31877767274.06</v>
      </c>
    </row>
    <row ht="12.8" outlineLevel="0" r="1274">
      <c r="A1274" s="17">
        <v>43282</v>
      </c>
      <c r="B1274" s="4" t="s">
        <v>13</v>
      </c>
      <c r="C1274" s="4" t="s">
        <v>8</v>
      </c>
      <c r="D1274" s="4" t="s">
        <v>9</v>
      </c>
      <c r="E1274" s="4" t="s">
        <v>16</v>
      </c>
      <c r="F1274" s="4" t="s">
        <v>17</v>
      </c>
      <c r="G1274" s="7">
        <v>155575332046.654</v>
      </c>
    </row>
    <row ht="12.8" outlineLevel="0" r="1275">
      <c r="A1275" s="17">
        <v>43282</v>
      </c>
      <c r="B1275" s="4" t="s">
        <v>32</v>
      </c>
      <c r="C1275" s="4" t="s">
        <v>33</v>
      </c>
      <c r="D1275" s="4" t="s">
        <v>34</v>
      </c>
      <c r="E1275" s="4" t="s">
        <v>16</v>
      </c>
      <c r="F1275" s="4" t="s">
        <v>17</v>
      </c>
      <c r="G1275" s="7">
        <v>5593188891.8258</v>
      </c>
    </row>
    <row ht="12.8" outlineLevel="0" r="1276">
      <c r="A1276" s="17">
        <v>43282</v>
      </c>
      <c r="B1276" s="4" t="s">
        <v>7</v>
      </c>
      <c r="C1276" s="4" t="s">
        <v>8</v>
      </c>
      <c r="D1276" s="4" t="s">
        <v>9</v>
      </c>
      <c r="E1276" s="4" t="s">
        <v>16</v>
      </c>
      <c r="F1276" s="4" t="s">
        <v>17</v>
      </c>
      <c r="G1276" s="7">
        <v>193378929790.7</v>
      </c>
    </row>
    <row ht="12.8" outlineLevel="0" r="1277">
      <c r="A1277" s="17">
        <v>43282</v>
      </c>
      <c r="B1277" s="4" t="s">
        <v>12</v>
      </c>
      <c r="C1277" s="4" t="s">
        <v>8</v>
      </c>
      <c r="D1277" s="4" t="s">
        <v>9</v>
      </c>
      <c r="E1277" s="4" t="s">
        <v>16</v>
      </c>
      <c r="F1277" s="4" t="s">
        <v>17</v>
      </c>
      <c r="G1277" s="7">
        <v>320790540981.45</v>
      </c>
    </row>
    <row ht="12.8" outlineLevel="0" r="1278">
      <c r="A1278" s="17">
        <v>43282</v>
      </c>
      <c r="B1278" s="4" t="s">
        <v>25</v>
      </c>
      <c r="C1278" s="4" t="s">
        <v>23</v>
      </c>
      <c r="D1278" s="4" t="s">
        <v>24</v>
      </c>
      <c r="E1278" s="4" t="s">
        <v>16</v>
      </c>
      <c r="F1278" s="4" t="s">
        <v>17</v>
      </c>
      <c r="G1278" s="7">
        <v>277121052161.03</v>
      </c>
    </row>
    <row ht="12.8" outlineLevel="0" r="1279">
      <c r="A1279" s="17">
        <v>43282</v>
      </c>
      <c r="B1279" s="4" t="s">
        <v>26</v>
      </c>
      <c r="C1279" s="4" t="s">
        <v>27</v>
      </c>
      <c r="D1279" s="4" t="s">
        <v>28</v>
      </c>
      <c r="E1279" s="4" t="s">
        <v>18</v>
      </c>
      <c r="F1279" s="4" t="s">
        <v>19</v>
      </c>
      <c r="G1279" s="7">
        <v>177930688115.778</v>
      </c>
    </row>
    <row ht="12.8" outlineLevel="0" r="1280">
      <c r="A1280" s="17">
        <v>43282</v>
      </c>
      <c r="B1280" s="4" t="s">
        <v>35</v>
      </c>
      <c r="C1280" s="4" t="s">
        <v>36</v>
      </c>
      <c r="D1280" s="4" t="s">
        <v>37</v>
      </c>
      <c r="E1280" s="4" t="s">
        <v>16</v>
      </c>
      <c r="F1280" s="4" t="s">
        <v>17</v>
      </c>
      <c r="G1280" s="7">
        <v>32038879696.27</v>
      </c>
    </row>
    <row ht="12.8" outlineLevel="0" r="1281">
      <c r="A1281" s="17">
        <v>43282</v>
      </c>
      <c r="B1281" s="4" t="s">
        <v>22</v>
      </c>
      <c r="C1281" s="4" t="s">
        <v>23</v>
      </c>
      <c r="D1281" s="4" t="s">
        <v>24</v>
      </c>
      <c r="E1281" s="4" t="s">
        <v>16</v>
      </c>
      <c r="F1281" s="4" t="s">
        <v>17</v>
      </c>
      <c r="G1281" s="7">
        <v>218331146035.73</v>
      </c>
    </row>
    <row ht="12.8" outlineLevel="0" r="1282">
      <c r="A1282" s="17">
        <v>43282</v>
      </c>
      <c r="B1282" s="4" t="s">
        <v>13</v>
      </c>
      <c r="C1282" s="4" t="s">
        <v>8</v>
      </c>
      <c r="D1282" s="4" t="s">
        <v>9</v>
      </c>
      <c r="E1282" s="4" t="s">
        <v>10</v>
      </c>
      <c r="F1282" s="4" t="s">
        <v>11</v>
      </c>
      <c r="G1282" s="7">
        <v>329006534065.57</v>
      </c>
    </row>
    <row ht="12.8" outlineLevel="0" r="1283">
      <c r="A1283" s="17">
        <v>43282</v>
      </c>
      <c r="B1283" s="4" t="s">
        <v>29</v>
      </c>
      <c r="C1283" s="4" t="s">
        <v>30</v>
      </c>
      <c r="D1283" s="4" t="s">
        <v>31</v>
      </c>
      <c r="E1283" s="4" t="s">
        <v>10</v>
      </c>
      <c r="F1283" s="4" t="s">
        <v>11</v>
      </c>
      <c r="G1283" s="7">
        <v>366261169940</v>
      </c>
    </row>
    <row ht="12.8" outlineLevel="0" r="1284">
      <c r="A1284" s="17">
        <v>43282</v>
      </c>
      <c r="B1284" s="4" t="s">
        <v>26</v>
      </c>
      <c r="C1284" s="4" t="s">
        <v>27</v>
      </c>
      <c r="D1284" s="4" t="s">
        <v>28</v>
      </c>
      <c r="E1284" s="4" t="s">
        <v>10</v>
      </c>
      <c r="F1284" s="4" t="s">
        <v>11</v>
      </c>
      <c r="G1284" s="7">
        <v>328202718514</v>
      </c>
    </row>
    <row ht="12.8" outlineLevel="0" r="1285">
      <c r="A1285" s="17">
        <v>43282</v>
      </c>
      <c r="B1285" s="4" t="s">
        <v>12</v>
      </c>
      <c r="C1285" s="4" t="s">
        <v>8</v>
      </c>
      <c r="D1285" s="4" t="s">
        <v>9</v>
      </c>
      <c r="E1285" s="4" t="s">
        <v>10</v>
      </c>
      <c r="F1285" s="4" t="s">
        <v>11</v>
      </c>
      <c r="G1285" s="7">
        <v>592372705890</v>
      </c>
    </row>
    <row ht="12.8" outlineLevel="0" r="1286">
      <c r="A1286" s="17">
        <v>43282</v>
      </c>
      <c r="B1286" s="4" t="s">
        <v>7</v>
      </c>
      <c r="C1286" s="4" t="s">
        <v>8</v>
      </c>
      <c r="D1286" s="4" t="s">
        <v>9</v>
      </c>
      <c r="E1286" s="4" t="s">
        <v>10</v>
      </c>
      <c r="F1286" s="4" t="s">
        <v>11</v>
      </c>
      <c r="G1286" s="7">
        <v>339606473193.93</v>
      </c>
    </row>
    <row ht="12.8" outlineLevel="0" r="1287">
      <c r="A1287" s="17">
        <v>43252</v>
      </c>
      <c r="B1287" s="4" t="s">
        <v>29</v>
      </c>
      <c r="C1287" s="4" t="s">
        <v>30</v>
      </c>
      <c r="D1287" s="4" t="s">
        <v>31</v>
      </c>
      <c r="E1287" s="4" t="s">
        <v>14</v>
      </c>
      <c r="F1287" s="4" t="s">
        <v>15</v>
      </c>
      <c r="G1287" s="7">
        <v>346532292086.03</v>
      </c>
    </row>
    <row ht="12.8" outlineLevel="0" r="1288">
      <c r="A1288" s="17">
        <v>43252</v>
      </c>
      <c r="B1288" s="4" t="s">
        <v>7</v>
      </c>
      <c r="C1288" s="4" t="s">
        <v>8</v>
      </c>
      <c r="D1288" s="4" t="s">
        <v>9</v>
      </c>
      <c r="E1288" s="4" t="s">
        <v>14</v>
      </c>
      <c r="F1288" s="4" t="s">
        <v>15</v>
      </c>
      <c r="G1288" s="7">
        <v>293380441366.47</v>
      </c>
    </row>
    <row ht="12.8" outlineLevel="0" r="1289">
      <c r="A1289" s="17">
        <v>43252</v>
      </c>
      <c r="B1289" s="4" t="s">
        <v>38</v>
      </c>
      <c r="C1289" s="4" t="s">
        <v>39</v>
      </c>
      <c r="D1289" s="4" t="s">
        <v>40</v>
      </c>
      <c r="E1289" s="4" t="s">
        <v>10</v>
      </c>
      <c r="F1289" s="4" t="s">
        <v>11</v>
      </c>
      <c r="G1289" s="7">
        <v>19323992620</v>
      </c>
    </row>
    <row ht="12.8" outlineLevel="0" r="1290">
      <c r="A1290" s="17">
        <v>43252</v>
      </c>
      <c r="B1290" s="4" t="s">
        <v>26</v>
      </c>
      <c r="C1290" s="4" t="s">
        <v>27</v>
      </c>
      <c r="D1290" s="4" t="s">
        <v>28</v>
      </c>
      <c r="E1290" s="4" t="s">
        <v>14</v>
      </c>
      <c r="F1290" s="4" t="s">
        <v>15</v>
      </c>
      <c r="G1290" s="7">
        <v>252226105724.386</v>
      </c>
    </row>
    <row ht="12.8" outlineLevel="0" r="1291">
      <c r="A1291" s="17">
        <v>43252</v>
      </c>
      <c r="B1291" s="4" t="s">
        <v>12</v>
      </c>
      <c r="C1291" s="4" t="s">
        <v>8</v>
      </c>
      <c r="D1291" s="4" t="s">
        <v>9</v>
      </c>
      <c r="E1291" s="4" t="s">
        <v>14</v>
      </c>
      <c r="F1291" s="4" t="s">
        <v>15</v>
      </c>
      <c r="G1291" s="7">
        <v>485782419262.11</v>
      </c>
    </row>
    <row ht="12.8" outlineLevel="0" r="1292">
      <c r="A1292" s="17">
        <v>43252</v>
      </c>
      <c r="B1292" s="4" t="s">
        <v>35</v>
      </c>
      <c r="C1292" s="4" t="s">
        <v>36</v>
      </c>
      <c r="D1292" s="4" t="s">
        <v>37</v>
      </c>
      <c r="E1292" s="4" t="s">
        <v>14</v>
      </c>
      <c r="F1292" s="4" t="s">
        <v>15</v>
      </c>
      <c r="G1292" s="7">
        <v>57898123539.06</v>
      </c>
    </row>
    <row ht="12.8" outlineLevel="0" r="1293">
      <c r="A1293" s="17">
        <v>43252</v>
      </c>
      <c r="B1293" s="4" t="s">
        <v>22</v>
      </c>
      <c r="C1293" s="4" t="s">
        <v>23</v>
      </c>
      <c r="D1293" s="4" t="s">
        <v>24</v>
      </c>
      <c r="E1293" s="4" t="s">
        <v>14</v>
      </c>
      <c r="F1293" s="4" t="s">
        <v>15</v>
      </c>
      <c r="G1293" s="7">
        <v>315844680989.75</v>
      </c>
    </row>
    <row ht="12.8" outlineLevel="0" r="1294">
      <c r="A1294" s="17">
        <v>43252</v>
      </c>
      <c r="B1294" s="4" t="s">
        <v>13</v>
      </c>
      <c r="C1294" s="4" t="s">
        <v>8</v>
      </c>
      <c r="D1294" s="4" t="s">
        <v>9</v>
      </c>
      <c r="E1294" s="4" t="s">
        <v>14</v>
      </c>
      <c r="F1294" s="4" t="s">
        <v>15</v>
      </c>
      <c r="G1294" s="7">
        <v>236101102966.161</v>
      </c>
    </row>
    <row ht="12.8" outlineLevel="0" r="1295">
      <c r="A1295" s="17">
        <v>43252</v>
      </c>
      <c r="B1295" s="4" t="s">
        <v>32</v>
      </c>
      <c r="C1295" s="4" t="s">
        <v>33</v>
      </c>
      <c r="D1295" s="4" t="s">
        <v>34</v>
      </c>
      <c r="E1295" s="4" t="s">
        <v>14</v>
      </c>
      <c r="F1295" s="4" t="s">
        <v>15</v>
      </c>
      <c r="G1295" s="7">
        <v>22058440728.8645</v>
      </c>
    </row>
    <row ht="12.8" outlineLevel="0" r="1296">
      <c r="A1296" s="17">
        <v>43252</v>
      </c>
      <c r="B1296" s="4" t="s">
        <v>7</v>
      </c>
      <c r="C1296" s="4" t="s">
        <v>8</v>
      </c>
      <c r="D1296" s="4" t="s">
        <v>9</v>
      </c>
      <c r="E1296" s="4" t="s">
        <v>10</v>
      </c>
      <c r="F1296" s="4" t="s">
        <v>11</v>
      </c>
      <c r="G1296" s="7">
        <v>339547343510.38</v>
      </c>
    </row>
    <row ht="12.8" outlineLevel="0" r="1297">
      <c r="A1297" s="17">
        <v>43252</v>
      </c>
      <c r="B1297" s="4" t="s">
        <v>12</v>
      </c>
      <c r="C1297" s="4" t="s">
        <v>8</v>
      </c>
      <c r="D1297" s="4" t="s">
        <v>9</v>
      </c>
      <c r="E1297" s="4" t="s">
        <v>10</v>
      </c>
      <c r="F1297" s="4" t="s">
        <v>11</v>
      </c>
      <c r="G1297" s="7">
        <v>592372705890</v>
      </c>
    </row>
    <row ht="12.8" outlineLevel="0" r="1298">
      <c r="A1298" s="17">
        <v>43252</v>
      </c>
      <c r="B1298" s="4" t="s">
        <v>26</v>
      </c>
      <c r="C1298" s="4" t="s">
        <v>27</v>
      </c>
      <c r="D1298" s="4" t="s">
        <v>28</v>
      </c>
      <c r="E1298" s="4" t="s">
        <v>10</v>
      </c>
      <c r="F1298" s="4" t="s">
        <v>11</v>
      </c>
      <c r="G1298" s="7">
        <v>328202718514</v>
      </c>
    </row>
    <row ht="12.8" outlineLevel="0" r="1299">
      <c r="A1299" s="17">
        <v>43252</v>
      </c>
      <c r="B1299" s="4" t="s">
        <v>29</v>
      </c>
      <c r="C1299" s="4" t="s">
        <v>30</v>
      </c>
      <c r="D1299" s="4" t="s">
        <v>31</v>
      </c>
      <c r="E1299" s="4" t="s">
        <v>10</v>
      </c>
      <c r="F1299" s="4" t="s">
        <v>11</v>
      </c>
      <c r="G1299" s="7">
        <v>366261169940</v>
      </c>
    </row>
    <row ht="12.8" outlineLevel="0" r="1300">
      <c r="A1300" s="17">
        <v>43252</v>
      </c>
      <c r="B1300" s="4" t="s">
        <v>13</v>
      </c>
      <c r="C1300" s="4" t="s">
        <v>8</v>
      </c>
      <c r="D1300" s="4" t="s">
        <v>9</v>
      </c>
      <c r="E1300" s="4" t="s">
        <v>10</v>
      </c>
      <c r="F1300" s="4" t="s">
        <v>11</v>
      </c>
      <c r="G1300" s="7">
        <v>328938146366.1</v>
      </c>
    </row>
    <row ht="12.8" outlineLevel="0" r="1301">
      <c r="A1301" s="17">
        <v>43252</v>
      </c>
      <c r="B1301" s="4" t="s">
        <v>22</v>
      </c>
      <c r="C1301" s="4" t="s">
        <v>23</v>
      </c>
      <c r="D1301" s="4" t="s">
        <v>24</v>
      </c>
      <c r="E1301" s="4" t="s">
        <v>10</v>
      </c>
      <c r="F1301" s="4" t="s">
        <v>11</v>
      </c>
      <c r="G1301" s="7">
        <v>370668206906.87</v>
      </c>
    </row>
    <row ht="12.8" outlineLevel="0" r="1302">
      <c r="A1302" s="17">
        <v>43252</v>
      </c>
      <c r="B1302" s="4" t="s">
        <v>25</v>
      </c>
      <c r="C1302" s="4" t="s">
        <v>23</v>
      </c>
      <c r="D1302" s="4" t="s">
        <v>24</v>
      </c>
      <c r="E1302" s="4" t="s">
        <v>10</v>
      </c>
      <c r="F1302" s="4" t="s">
        <v>11</v>
      </c>
      <c r="G1302" s="7">
        <v>1041957721536.13</v>
      </c>
    </row>
    <row ht="12.8" outlineLevel="0" r="1303">
      <c r="A1303" s="17">
        <v>43252</v>
      </c>
      <c r="B1303" s="4" t="s">
        <v>32</v>
      </c>
      <c r="C1303" s="4" t="s">
        <v>33</v>
      </c>
      <c r="D1303" s="4" t="s">
        <v>34</v>
      </c>
      <c r="E1303" s="4" t="s">
        <v>10</v>
      </c>
      <c r="F1303" s="4" t="s">
        <v>11</v>
      </c>
      <c r="G1303" s="7">
        <v>42731115575</v>
      </c>
    </row>
    <row ht="12.8" outlineLevel="0" r="1304">
      <c r="A1304" s="17">
        <v>43252</v>
      </c>
      <c r="B1304" s="4" t="s">
        <v>35</v>
      </c>
      <c r="C1304" s="4" t="s">
        <v>36</v>
      </c>
      <c r="D1304" s="4" t="s">
        <v>37</v>
      </c>
      <c r="E1304" s="4" t="s">
        <v>10</v>
      </c>
      <c r="F1304" s="4" t="s">
        <v>11</v>
      </c>
      <c r="G1304" s="7">
        <v>80062946878</v>
      </c>
    </row>
    <row ht="12.8" outlineLevel="0" r="1305">
      <c r="A1305" s="17">
        <v>43252</v>
      </c>
      <c r="B1305" s="4" t="s">
        <v>25</v>
      </c>
      <c r="C1305" s="4" t="s">
        <v>23</v>
      </c>
      <c r="D1305" s="4" t="s">
        <v>24</v>
      </c>
      <c r="E1305" s="4" t="s">
        <v>14</v>
      </c>
      <c r="F1305" s="4" t="s">
        <v>15</v>
      </c>
      <c r="G1305" s="7">
        <v>683446907471.73</v>
      </c>
    </row>
    <row ht="12.8" outlineLevel="0" r="1306">
      <c r="A1306" s="17">
        <v>43252</v>
      </c>
      <c r="B1306" s="4" t="s">
        <v>7</v>
      </c>
      <c r="C1306" s="4" t="s">
        <v>8</v>
      </c>
      <c r="D1306" s="4" t="s">
        <v>9</v>
      </c>
      <c r="E1306" s="4" t="s">
        <v>18</v>
      </c>
      <c r="F1306" s="4" t="s">
        <v>19</v>
      </c>
      <c r="G1306" s="7">
        <v>165695359234.9</v>
      </c>
    </row>
    <row ht="12.8" outlineLevel="0" r="1307">
      <c r="A1307" s="17">
        <v>43252</v>
      </c>
      <c r="B1307" s="4" t="s">
        <v>12</v>
      </c>
      <c r="C1307" s="4" t="s">
        <v>8</v>
      </c>
      <c r="D1307" s="4" t="s">
        <v>9</v>
      </c>
      <c r="E1307" s="4" t="s">
        <v>18</v>
      </c>
      <c r="F1307" s="4" t="s">
        <v>19</v>
      </c>
      <c r="G1307" s="7">
        <v>255708256590.72</v>
      </c>
    </row>
    <row ht="12.8" outlineLevel="0" r="1308">
      <c r="A1308" s="17">
        <v>43252</v>
      </c>
      <c r="B1308" s="4" t="s">
        <v>26</v>
      </c>
      <c r="C1308" s="4" t="s">
        <v>27</v>
      </c>
      <c r="D1308" s="4" t="s">
        <v>28</v>
      </c>
      <c r="E1308" s="4" t="s">
        <v>18</v>
      </c>
      <c r="F1308" s="4" t="s">
        <v>19</v>
      </c>
      <c r="G1308" s="7">
        <v>153923382629.503</v>
      </c>
    </row>
    <row ht="12.8" outlineLevel="0" r="1309">
      <c r="A1309" s="17">
        <v>43252</v>
      </c>
      <c r="B1309" s="4" t="s">
        <v>29</v>
      </c>
      <c r="C1309" s="4" t="s">
        <v>30</v>
      </c>
      <c r="D1309" s="4" t="s">
        <v>31</v>
      </c>
      <c r="E1309" s="4" t="s">
        <v>18</v>
      </c>
      <c r="F1309" s="4" t="s">
        <v>19</v>
      </c>
      <c r="G1309" s="7">
        <v>136449487718.11</v>
      </c>
    </row>
    <row ht="12.8" outlineLevel="0" r="1310">
      <c r="A1310" s="17">
        <v>43252</v>
      </c>
      <c r="B1310" s="4" t="s">
        <v>13</v>
      </c>
      <c r="C1310" s="4" t="s">
        <v>8</v>
      </c>
      <c r="D1310" s="4" t="s">
        <v>9</v>
      </c>
      <c r="E1310" s="4" t="s">
        <v>18</v>
      </c>
      <c r="F1310" s="4" t="s">
        <v>19</v>
      </c>
      <c r="G1310" s="7">
        <v>125543450506.595</v>
      </c>
    </row>
    <row ht="12.8" outlineLevel="0" r="1311">
      <c r="A1311" s="17">
        <v>43252</v>
      </c>
      <c r="B1311" s="4" t="s">
        <v>22</v>
      </c>
      <c r="C1311" s="4" t="s">
        <v>23</v>
      </c>
      <c r="D1311" s="4" t="s">
        <v>24</v>
      </c>
      <c r="E1311" s="4" t="s">
        <v>18</v>
      </c>
      <c r="F1311" s="4" t="s">
        <v>19</v>
      </c>
      <c r="G1311" s="7">
        <v>137951645158.04</v>
      </c>
    </row>
    <row ht="12.8" outlineLevel="0" r="1312">
      <c r="A1312" s="17">
        <v>43252</v>
      </c>
      <c r="B1312" s="4" t="s">
        <v>25</v>
      </c>
      <c r="C1312" s="4" t="s">
        <v>23</v>
      </c>
      <c r="D1312" s="4" t="s">
        <v>24</v>
      </c>
      <c r="E1312" s="4" t="s">
        <v>18</v>
      </c>
      <c r="F1312" s="4" t="s">
        <v>19</v>
      </c>
      <c r="G1312" s="7">
        <v>241097242441.43</v>
      </c>
    </row>
    <row ht="12.8" outlineLevel="0" r="1313">
      <c r="A1313" s="17">
        <v>43252</v>
      </c>
      <c r="B1313" s="4" t="s">
        <v>32</v>
      </c>
      <c r="C1313" s="4" t="s">
        <v>33</v>
      </c>
      <c r="D1313" s="4" t="s">
        <v>34</v>
      </c>
      <c r="E1313" s="4" t="s">
        <v>18</v>
      </c>
      <c r="F1313" s="4" t="s">
        <v>19</v>
      </c>
      <c r="G1313" s="7">
        <v>3934424644.6093</v>
      </c>
    </row>
    <row ht="12.8" outlineLevel="0" r="1314">
      <c r="A1314" s="17">
        <v>43252</v>
      </c>
      <c r="B1314" s="4" t="s">
        <v>35</v>
      </c>
      <c r="C1314" s="4" t="s">
        <v>36</v>
      </c>
      <c r="D1314" s="4" t="s">
        <v>37</v>
      </c>
      <c r="E1314" s="4" t="s">
        <v>18</v>
      </c>
      <c r="F1314" s="4" t="s">
        <v>19</v>
      </c>
      <c r="G1314" s="7">
        <v>26225188727.7</v>
      </c>
    </row>
    <row ht="12.8" outlineLevel="0" r="1315">
      <c r="A1315" s="17">
        <v>43252</v>
      </c>
      <c r="B1315" s="4" t="s">
        <v>7</v>
      </c>
      <c r="C1315" s="4" t="s">
        <v>8</v>
      </c>
      <c r="D1315" s="4" t="s">
        <v>9</v>
      </c>
      <c r="E1315" s="4" t="s">
        <v>16</v>
      </c>
      <c r="F1315" s="4" t="s">
        <v>17</v>
      </c>
      <c r="G1315" s="7">
        <v>165700145970.34</v>
      </c>
    </row>
    <row ht="12.8" outlineLevel="0" r="1316">
      <c r="A1316" s="17">
        <v>43252</v>
      </c>
      <c r="B1316" s="4" t="s">
        <v>12</v>
      </c>
      <c r="C1316" s="4" t="s">
        <v>8</v>
      </c>
      <c r="D1316" s="4" t="s">
        <v>9</v>
      </c>
      <c r="E1316" s="4" t="s">
        <v>16</v>
      </c>
      <c r="F1316" s="4" t="s">
        <v>17</v>
      </c>
      <c r="G1316" s="7">
        <v>275266633839.32</v>
      </c>
    </row>
    <row ht="12.8" outlineLevel="0" r="1317">
      <c r="A1317" s="17">
        <v>43252</v>
      </c>
      <c r="B1317" s="4" t="s">
        <v>26</v>
      </c>
      <c r="C1317" s="4" t="s">
        <v>27</v>
      </c>
      <c r="D1317" s="4" t="s">
        <v>28</v>
      </c>
      <c r="E1317" s="4" t="s">
        <v>16</v>
      </c>
      <c r="F1317" s="4" t="s">
        <v>17</v>
      </c>
      <c r="G1317" s="7">
        <v>155404943984.453</v>
      </c>
    </row>
    <row ht="12.8" outlineLevel="0" r="1318">
      <c r="A1318" s="17">
        <v>43252</v>
      </c>
      <c r="B1318" s="4" t="s">
        <v>29</v>
      </c>
      <c r="C1318" s="4" t="s">
        <v>30</v>
      </c>
      <c r="D1318" s="4" t="s">
        <v>31</v>
      </c>
      <c r="E1318" s="4" t="s">
        <v>16</v>
      </c>
      <c r="F1318" s="4" t="s">
        <v>17</v>
      </c>
      <c r="G1318" s="7">
        <v>136449487718.11</v>
      </c>
    </row>
    <row ht="12.8" outlineLevel="0" r="1319">
      <c r="A1319" s="17">
        <v>43252</v>
      </c>
      <c r="B1319" s="4" t="s">
        <v>13</v>
      </c>
      <c r="C1319" s="4" t="s">
        <v>8</v>
      </c>
      <c r="D1319" s="4" t="s">
        <v>9</v>
      </c>
      <c r="E1319" s="4" t="s">
        <v>16</v>
      </c>
      <c r="F1319" s="4" t="s">
        <v>17</v>
      </c>
      <c r="G1319" s="7">
        <v>129131120529.682</v>
      </c>
    </row>
    <row ht="12.8" outlineLevel="0" r="1320">
      <c r="A1320" s="17">
        <v>43252</v>
      </c>
      <c r="B1320" s="4" t="s">
        <v>22</v>
      </c>
      <c r="C1320" s="4" t="s">
        <v>23</v>
      </c>
      <c r="D1320" s="4" t="s">
        <v>24</v>
      </c>
      <c r="E1320" s="4" t="s">
        <v>16</v>
      </c>
      <c r="F1320" s="4" t="s">
        <v>17</v>
      </c>
      <c r="G1320" s="7">
        <v>137951645158.04</v>
      </c>
    </row>
    <row ht="12.8" outlineLevel="0" r="1321">
      <c r="A1321" s="17">
        <v>43252</v>
      </c>
      <c r="B1321" s="4" t="s">
        <v>25</v>
      </c>
      <c r="C1321" s="4" t="s">
        <v>23</v>
      </c>
      <c r="D1321" s="4" t="s">
        <v>24</v>
      </c>
      <c r="E1321" s="4" t="s">
        <v>16</v>
      </c>
      <c r="F1321" s="4" t="s">
        <v>17</v>
      </c>
      <c r="G1321" s="7">
        <v>241097242441.43</v>
      </c>
    </row>
    <row ht="12.8" outlineLevel="0" r="1322">
      <c r="A1322" s="17">
        <v>43252</v>
      </c>
      <c r="B1322" s="4" t="s">
        <v>32</v>
      </c>
      <c r="C1322" s="4" t="s">
        <v>33</v>
      </c>
      <c r="D1322" s="4" t="s">
        <v>34</v>
      </c>
      <c r="E1322" s="4" t="s">
        <v>16</v>
      </c>
      <c r="F1322" s="4" t="s">
        <v>17</v>
      </c>
      <c r="G1322" s="7">
        <v>4096876615.6827</v>
      </c>
    </row>
    <row ht="12.8" outlineLevel="0" r="1323">
      <c r="A1323" s="17">
        <v>43252</v>
      </c>
      <c r="B1323" s="4" t="s">
        <v>35</v>
      </c>
      <c r="C1323" s="4" t="s">
        <v>36</v>
      </c>
      <c r="D1323" s="4" t="s">
        <v>37</v>
      </c>
      <c r="E1323" s="4" t="s">
        <v>16</v>
      </c>
      <c r="F1323" s="4" t="s">
        <v>17</v>
      </c>
      <c r="G1323" s="7">
        <v>26273165208.81</v>
      </c>
    </row>
    <row ht="12.8" outlineLevel="0" r="1324">
      <c r="A1324" s="17">
        <v>43221</v>
      </c>
      <c r="B1324" s="4" t="s">
        <v>29</v>
      </c>
      <c r="C1324" s="4" t="s">
        <v>30</v>
      </c>
      <c r="D1324" s="4" t="s">
        <v>31</v>
      </c>
      <c r="E1324" s="4" t="s">
        <v>14</v>
      </c>
      <c r="F1324" s="4" t="s">
        <v>15</v>
      </c>
      <c r="G1324" s="7">
        <v>185445201747.23</v>
      </c>
    </row>
    <row ht="12.8" outlineLevel="0" r="1325">
      <c r="A1325" s="17">
        <v>43221</v>
      </c>
      <c r="B1325" s="4" t="s">
        <v>7</v>
      </c>
      <c r="C1325" s="4" t="s">
        <v>8</v>
      </c>
      <c r="D1325" s="4" t="s">
        <v>9</v>
      </c>
      <c r="E1325" s="4" t="s">
        <v>14</v>
      </c>
      <c r="F1325" s="4" t="s">
        <v>15</v>
      </c>
      <c r="G1325" s="7">
        <v>284983214164.79</v>
      </c>
    </row>
    <row ht="12.8" outlineLevel="0" r="1326">
      <c r="A1326" s="17">
        <v>43221</v>
      </c>
      <c r="B1326" s="4" t="s">
        <v>38</v>
      </c>
      <c r="C1326" s="4" t="s">
        <v>39</v>
      </c>
      <c r="D1326" s="4" t="s">
        <v>40</v>
      </c>
      <c r="E1326" s="4" t="s">
        <v>10</v>
      </c>
      <c r="F1326" s="4" t="s">
        <v>11</v>
      </c>
      <c r="G1326" s="7">
        <v>25521582692</v>
      </c>
    </row>
    <row ht="12.8" outlineLevel="0" r="1327">
      <c r="A1327" s="17">
        <v>43221</v>
      </c>
      <c r="B1327" s="4" t="s">
        <v>26</v>
      </c>
      <c r="C1327" s="4" t="s">
        <v>27</v>
      </c>
      <c r="D1327" s="4" t="s">
        <v>28</v>
      </c>
      <c r="E1327" s="4" t="s">
        <v>14</v>
      </c>
      <c r="F1327" s="4" t="s">
        <v>15</v>
      </c>
      <c r="G1327" s="7">
        <v>240791349343.519</v>
      </c>
    </row>
    <row ht="12.8" outlineLevel="0" r="1328">
      <c r="A1328" s="17">
        <v>43221</v>
      </c>
      <c r="B1328" s="4" t="s">
        <v>12</v>
      </c>
      <c r="C1328" s="4" t="s">
        <v>8</v>
      </c>
      <c r="D1328" s="4" t="s">
        <v>9</v>
      </c>
      <c r="E1328" s="4" t="s">
        <v>14</v>
      </c>
      <c r="F1328" s="4" t="s">
        <v>15</v>
      </c>
      <c r="G1328" s="7">
        <v>485217568535.03</v>
      </c>
    </row>
    <row ht="12.8" outlineLevel="0" r="1329">
      <c r="A1329" s="17">
        <v>43221</v>
      </c>
      <c r="B1329" s="4" t="s">
        <v>35</v>
      </c>
      <c r="C1329" s="4" t="s">
        <v>36</v>
      </c>
      <c r="D1329" s="4" t="s">
        <v>37</v>
      </c>
      <c r="E1329" s="4" t="s">
        <v>14</v>
      </c>
      <c r="F1329" s="4" t="s">
        <v>15</v>
      </c>
      <c r="G1329" s="7">
        <v>53346969048.3</v>
      </c>
    </row>
    <row ht="12.8" outlineLevel="0" r="1330">
      <c r="A1330" s="17">
        <v>43221</v>
      </c>
      <c r="B1330" s="4" t="s">
        <v>22</v>
      </c>
      <c r="C1330" s="4" t="s">
        <v>23</v>
      </c>
      <c r="D1330" s="4" t="s">
        <v>24</v>
      </c>
      <c r="E1330" s="4" t="s">
        <v>14</v>
      </c>
      <c r="F1330" s="4" t="s">
        <v>15</v>
      </c>
      <c r="G1330" s="7">
        <v>284295550353.84</v>
      </c>
    </row>
    <row ht="12.8" outlineLevel="0" r="1331">
      <c r="A1331" s="17">
        <v>43221</v>
      </c>
      <c r="B1331" s="4" t="s">
        <v>13</v>
      </c>
      <c r="C1331" s="4" t="s">
        <v>8</v>
      </c>
      <c r="D1331" s="4" t="s">
        <v>9</v>
      </c>
      <c r="E1331" s="4" t="s">
        <v>14</v>
      </c>
      <c r="F1331" s="4" t="s">
        <v>15</v>
      </c>
      <c r="G1331" s="7">
        <v>225482152033.734</v>
      </c>
    </row>
    <row ht="12.8" outlineLevel="0" r="1332">
      <c r="A1332" s="17">
        <v>43221</v>
      </c>
      <c r="B1332" s="4" t="s">
        <v>32</v>
      </c>
      <c r="C1332" s="4" t="s">
        <v>33</v>
      </c>
      <c r="D1332" s="4" t="s">
        <v>34</v>
      </c>
      <c r="E1332" s="4" t="s">
        <v>14</v>
      </c>
      <c r="F1332" s="4" t="s">
        <v>15</v>
      </c>
      <c r="G1332" s="7">
        <v>18773279717.9047</v>
      </c>
    </row>
    <row ht="12.8" outlineLevel="0" r="1333">
      <c r="A1333" s="17">
        <v>43221</v>
      </c>
      <c r="B1333" s="4" t="s">
        <v>7</v>
      </c>
      <c r="C1333" s="4" t="s">
        <v>8</v>
      </c>
      <c r="D1333" s="4" t="s">
        <v>9</v>
      </c>
      <c r="E1333" s="4" t="s">
        <v>10</v>
      </c>
      <c r="F1333" s="4" t="s">
        <v>11</v>
      </c>
      <c r="G1333" s="7">
        <v>339457527374.69</v>
      </c>
    </row>
    <row ht="12.8" outlineLevel="0" r="1334">
      <c r="A1334" s="17">
        <v>43221</v>
      </c>
      <c r="B1334" s="4" t="s">
        <v>12</v>
      </c>
      <c r="C1334" s="4" t="s">
        <v>8</v>
      </c>
      <c r="D1334" s="4" t="s">
        <v>9</v>
      </c>
      <c r="E1334" s="4" t="s">
        <v>10</v>
      </c>
      <c r="F1334" s="4" t="s">
        <v>11</v>
      </c>
      <c r="G1334" s="7">
        <v>592372705890</v>
      </c>
    </row>
    <row ht="12.8" outlineLevel="0" r="1335">
      <c r="A1335" s="17">
        <v>43221</v>
      </c>
      <c r="B1335" s="4" t="s">
        <v>26</v>
      </c>
      <c r="C1335" s="4" t="s">
        <v>27</v>
      </c>
      <c r="D1335" s="4" t="s">
        <v>28</v>
      </c>
      <c r="E1335" s="4" t="s">
        <v>10</v>
      </c>
      <c r="F1335" s="4" t="s">
        <v>11</v>
      </c>
      <c r="G1335" s="7">
        <v>328172718514</v>
      </c>
    </row>
    <row ht="12.8" outlineLevel="0" r="1336">
      <c r="A1336" s="17">
        <v>43221</v>
      </c>
      <c r="B1336" s="4" t="s">
        <v>29</v>
      </c>
      <c r="C1336" s="4" t="s">
        <v>30</v>
      </c>
      <c r="D1336" s="4" t="s">
        <v>31</v>
      </c>
      <c r="E1336" s="4" t="s">
        <v>10</v>
      </c>
      <c r="F1336" s="4" t="s">
        <v>11</v>
      </c>
      <c r="G1336" s="7">
        <v>366261169940</v>
      </c>
    </row>
    <row ht="12.8" outlineLevel="0" r="1337">
      <c r="A1337" s="17">
        <v>43221</v>
      </c>
      <c r="B1337" s="4" t="s">
        <v>13</v>
      </c>
      <c r="C1337" s="4" t="s">
        <v>8</v>
      </c>
      <c r="D1337" s="4" t="s">
        <v>9</v>
      </c>
      <c r="E1337" s="4" t="s">
        <v>10</v>
      </c>
      <c r="F1337" s="4" t="s">
        <v>11</v>
      </c>
      <c r="G1337" s="7">
        <v>320071985379.45</v>
      </c>
    </row>
    <row ht="12.8" outlineLevel="0" r="1338">
      <c r="A1338" s="17">
        <v>43221</v>
      </c>
      <c r="B1338" s="4" t="s">
        <v>22</v>
      </c>
      <c r="C1338" s="4" t="s">
        <v>23</v>
      </c>
      <c r="D1338" s="4" t="s">
        <v>24</v>
      </c>
      <c r="E1338" s="4" t="s">
        <v>10</v>
      </c>
      <c r="F1338" s="4" t="s">
        <v>11</v>
      </c>
      <c r="G1338" s="7">
        <v>340386933815</v>
      </c>
    </row>
    <row ht="12.8" outlineLevel="0" r="1339">
      <c r="A1339" s="17">
        <v>43221</v>
      </c>
      <c r="B1339" s="4" t="s">
        <v>25</v>
      </c>
      <c r="C1339" s="4" t="s">
        <v>23</v>
      </c>
      <c r="D1339" s="4" t="s">
        <v>24</v>
      </c>
      <c r="E1339" s="4" t="s">
        <v>10</v>
      </c>
      <c r="F1339" s="4" t="s">
        <v>11</v>
      </c>
      <c r="G1339" s="7">
        <v>1072238994628</v>
      </c>
    </row>
    <row ht="12.8" outlineLevel="0" r="1340">
      <c r="A1340" s="17">
        <v>43221</v>
      </c>
      <c r="B1340" s="4" t="s">
        <v>32</v>
      </c>
      <c r="C1340" s="4" t="s">
        <v>33</v>
      </c>
      <c r="D1340" s="4" t="s">
        <v>34</v>
      </c>
      <c r="E1340" s="4" t="s">
        <v>10</v>
      </c>
      <c r="F1340" s="4" t="s">
        <v>11</v>
      </c>
      <c r="G1340" s="7">
        <v>43156348875</v>
      </c>
    </row>
    <row ht="12.8" outlineLevel="0" r="1341">
      <c r="A1341" s="17">
        <v>43221</v>
      </c>
      <c r="B1341" s="4" t="s">
        <v>35</v>
      </c>
      <c r="C1341" s="4" t="s">
        <v>36</v>
      </c>
      <c r="D1341" s="4" t="s">
        <v>37</v>
      </c>
      <c r="E1341" s="4" t="s">
        <v>10</v>
      </c>
      <c r="F1341" s="4" t="s">
        <v>11</v>
      </c>
      <c r="G1341" s="7">
        <v>82426100629</v>
      </c>
    </row>
    <row ht="12.8" outlineLevel="0" r="1342">
      <c r="A1342" s="17">
        <v>43221</v>
      </c>
      <c r="B1342" s="4" t="s">
        <v>25</v>
      </c>
      <c r="C1342" s="4" t="s">
        <v>23</v>
      </c>
      <c r="D1342" s="4" t="s">
        <v>24</v>
      </c>
      <c r="E1342" s="4" t="s">
        <v>14</v>
      </c>
      <c r="F1342" s="4" t="s">
        <v>15</v>
      </c>
      <c r="G1342" s="7">
        <v>551150019495.56</v>
      </c>
    </row>
    <row ht="12.8" outlineLevel="0" r="1343">
      <c r="A1343" s="17">
        <v>43221</v>
      </c>
      <c r="B1343" s="4" t="s">
        <v>7</v>
      </c>
      <c r="C1343" s="4" t="s">
        <v>8</v>
      </c>
      <c r="D1343" s="4" t="s">
        <v>9</v>
      </c>
      <c r="E1343" s="4" t="s">
        <v>18</v>
      </c>
      <c r="F1343" s="4" t="s">
        <v>19</v>
      </c>
      <c r="G1343" s="7">
        <v>136253623772.6</v>
      </c>
    </row>
    <row ht="12.8" outlineLevel="0" r="1344">
      <c r="A1344" s="17">
        <v>43221</v>
      </c>
      <c r="B1344" s="4" t="s">
        <v>12</v>
      </c>
      <c r="C1344" s="4" t="s">
        <v>8</v>
      </c>
      <c r="D1344" s="4" t="s">
        <v>9</v>
      </c>
      <c r="E1344" s="4" t="s">
        <v>18</v>
      </c>
      <c r="F1344" s="4" t="s">
        <v>19</v>
      </c>
      <c r="G1344" s="7">
        <v>210495912443.33</v>
      </c>
    </row>
    <row ht="12.8" outlineLevel="0" r="1345">
      <c r="A1345" s="17">
        <v>43221</v>
      </c>
      <c r="B1345" s="4" t="s">
        <v>26</v>
      </c>
      <c r="C1345" s="4" t="s">
        <v>27</v>
      </c>
      <c r="D1345" s="4" t="s">
        <v>28</v>
      </c>
      <c r="E1345" s="4" t="s">
        <v>18</v>
      </c>
      <c r="F1345" s="4" t="s">
        <v>19</v>
      </c>
      <c r="G1345" s="7">
        <v>123308035982.725</v>
      </c>
    </row>
    <row ht="12.8" outlineLevel="0" r="1346">
      <c r="A1346" s="17">
        <v>43221</v>
      </c>
      <c r="B1346" s="4" t="s">
        <v>29</v>
      </c>
      <c r="C1346" s="4" t="s">
        <v>30</v>
      </c>
      <c r="D1346" s="4" t="s">
        <v>31</v>
      </c>
      <c r="E1346" s="4" t="s">
        <v>18</v>
      </c>
      <c r="F1346" s="4" t="s">
        <v>19</v>
      </c>
      <c r="G1346" s="7">
        <v>134680665770.11</v>
      </c>
    </row>
    <row ht="12.8" outlineLevel="0" r="1347">
      <c r="A1347" s="17">
        <v>43221</v>
      </c>
      <c r="B1347" s="4" t="s">
        <v>13</v>
      </c>
      <c r="C1347" s="4" t="s">
        <v>8</v>
      </c>
      <c r="D1347" s="4" t="s">
        <v>9</v>
      </c>
      <c r="E1347" s="4" t="s">
        <v>18</v>
      </c>
      <c r="F1347" s="4" t="s">
        <v>19</v>
      </c>
      <c r="G1347" s="7">
        <v>104467376204.534</v>
      </c>
    </row>
    <row ht="12.8" outlineLevel="0" r="1348">
      <c r="A1348" s="17">
        <v>43221</v>
      </c>
      <c r="B1348" s="4" t="s">
        <v>22</v>
      </c>
      <c r="C1348" s="4" t="s">
        <v>23</v>
      </c>
      <c r="D1348" s="4" t="s">
        <v>24</v>
      </c>
      <c r="E1348" s="4" t="s">
        <v>18</v>
      </c>
      <c r="F1348" s="4" t="s">
        <v>19</v>
      </c>
      <c r="G1348" s="7">
        <v>124906486065.8</v>
      </c>
    </row>
    <row ht="12.8" outlineLevel="0" r="1349">
      <c r="A1349" s="17">
        <v>43221</v>
      </c>
      <c r="B1349" s="4" t="s">
        <v>25</v>
      </c>
      <c r="C1349" s="4" t="s">
        <v>23</v>
      </c>
      <c r="D1349" s="4" t="s">
        <v>24</v>
      </c>
      <c r="E1349" s="4" t="s">
        <v>18</v>
      </c>
      <c r="F1349" s="4" t="s">
        <v>19</v>
      </c>
      <c r="G1349" s="7">
        <v>230741755403.72</v>
      </c>
    </row>
    <row ht="12.8" outlineLevel="0" r="1350">
      <c r="A1350" s="17">
        <v>43221</v>
      </c>
      <c r="B1350" s="4" t="s">
        <v>32</v>
      </c>
      <c r="C1350" s="4" t="s">
        <v>33</v>
      </c>
      <c r="D1350" s="4" t="s">
        <v>34</v>
      </c>
      <c r="E1350" s="4" t="s">
        <v>18</v>
      </c>
      <c r="F1350" s="4" t="s">
        <v>19</v>
      </c>
      <c r="G1350" s="7">
        <v>2160512778.0003</v>
      </c>
    </row>
    <row ht="12.8" outlineLevel="0" r="1351">
      <c r="A1351" s="17">
        <v>43221</v>
      </c>
      <c r="B1351" s="4" t="s">
        <v>35</v>
      </c>
      <c r="C1351" s="4" t="s">
        <v>36</v>
      </c>
      <c r="D1351" s="4" t="s">
        <v>37</v>
      </c>
      <c r="E1351" s="4" t="s">
        <v>18</v>
      </c>
      <c r="F1351" s="4" t="s">
        <v>19</v>
      </c>
      <c r="G1351" s="7">
        <v>20097327126.2</v>
      </c>
    </row>
    <row ht="12.8" outlineLevel="0" r="1352">
      <c r="A1352" s="17">
        <v>43221</v>
      </c>
      <c r="B1352" s="4" t="s">
        <v>7</v>
      </c>
      <c r="C1352" s="4" t="s">
        <v>8</v>
      </c>
      <c r="D1352" s="4" t="s">
        <v>9</v>
      </c>
      <c r="E1352" s="4" t="s">
        <v>16</v>
      </c>
      <c r="F1352" s="4" t="s">
        <v>17</v>
      </c>
      <c r="G1352" s="7">
        <v>136273386696.68</v>
      </c>
    </row>
    <row ht="12.8" outlineLevel="0" r="1353">
      <c r="A1353" s="17">
        <v>43221</v>
      </c>
      <c r="B1353" s="4" t="s">
        <v>12</v>
      </c>
      <c r="C1353" s="4" t="s">
        <v>8</v>
      </c>
      <c r="D1353" s="4" t="s">
        <v>9</v>
      </c>
      <c r="E1353" s="4" t="s">
        <v>16</v>
      </c>
      <c r="F1353" s="4" t="s">
        <v>17</v>
      </c>
      <c r="G1353" s="7">
        <v>230090786818.45</v>
      </c>
    </row>
    <row ht="12.8" outlineLevel="0" r="1354">
      <c r="A1354" s="17">
        <v>43221</v>
      </c>
      <c r="B1354" s="4" t="s">
        <v>26</v>
      </c>
      <c r="C1354" s="4" t="s">
        <v>27</v>
      </c>
      <c r="D1354" s="4" t="s">
        <v>28</v>
      </c>
      <c r="E1354" s="4" t="s">
        <v>16</v>
      </c>
      <c r="F1354" s="4" t="s">
        <v>17</v>
      </c>
      <c r="G1354" s="7">
        <v>124678391051.085</v>
      </c>
    </row>
    <row ht="12.8" outlineLevel="0" r="1355">
      <c r="A1355" s="17">
        <v>43221</v>
      </c>
      <c r="B1355" s="4" t="s">
        <v>29</v>
      </c>
      <c r="C1355" s="4" t="s">
        <v>30</v>
      </c>
      <c r="D1355" s="4" t="s">
        <v>31</v>
      </c>
      <c r="E1355" s="4" t="s">
        <v>16</v>
      </c>
      <c r="F1355" s="4" t="s">
        <v>17</v>
      </c>
      <c r="G1355" s="7">
        <v>134680665770.11</v>
      </c>
    </row>
    <row ht="12.8" outlineLevel="0" r="1356">
      <c r="A1356" s="17">
        <v>43221</v>
      </c>
      <c r="B1356" s="4" t="s">
        <v>13</v>
      </c>
      <c r="C1356" s="4" t="s">
        <v>8</v>
      </c>
      <c r="D1356" s="4" t="s">
        <v>9</v>
      </c>
      <c r="E1356" s="4" t="s">
        <v>16</v>
      </c>
      <c r="F1356" s="4" t="s">
        <v>17</v>
      </c>
      <c r="G1356" s="7">
        <v>108042517855.987</v>
      </c>
    </row>
    <row ht="12.8" outlineLevel="0" r="1357">
      <c r="A1357" s="17">
        <v>43221</v>
      </c>
      <c r="B1357" s="4" t="s">
        <v>22</v>
      </c>
      <c r="C1357" s="4" t="s">
        <v>23</v>
      </c>
      <c r="D1357" s="4" t="s">
        <v>24</v>
      </c>
      <c r="E1357" s="4" t="s">
        <v>16</v>
      </c>
      <c r="F1357" s="4" t="s">
        <v>17</v>
      </c>
      <c r="G1357" s="7">
        <v>124906486065.8</v>
      </c>
    </row>
    <row ht="12.8" outlineLevel="0" r="1358">
      <c r="A1358" s="17">
        <v>43221</v>
      </c>
      <c r="B1358" s="4" t="s">
        <v>25</v>
      </c>
      <c r="C1358" s="4" t="s">
        <v>23</v>
      </c>
      <c r="D1358" s="4" t="s">
        <v>24</v>
      </c>
      <c r="E1358" s="4" t="s">
        <v>16</v>
      </c>
      <c r="F1358" s="4" t="s">
        <v>17</v>
      </c>
      <c r="G1358" s="7">
        <v>230741755403.72</v>
      </c>
    </row>
    <row ht="12.8" outlineLevel="0" r="1359">
      <c r="A1359" s="17">
        <v>43221</v>
      </c>
      <c r="B1359" s="4" t="s">
        <v>32</v>
      </c>
      <c r="C1359" s="4" t="s">
        <v>33</v>
      </c>
      <c r="D1359" s="4" t="s">
        <v>34</v>
      </c>
      <c r="E1359" s="4" t="s">
        <v>16</v>
      </c>
      <c r="F1359" s="4" t="s">
        <v>17</v>
      </c>
      <c r="G1359" s="7">
        <v>2353999708.4403</v>
      </c>
    </row>
    <row ht="12.8" outlineLevel="0" r="1360">
      <c r="A1360" s="17">
        <v>43221</v>
      </c>
      <c r="B1360" s="4" t="s">
        <v>35</v>
      </c>
      <c r="C1360" s="4" t="s">
        <v>36</v>
      </c>
      <c r="D1360" s="4" t="s">
        <v>37</v>
      </c>
      <c r="E1360" s="4" t="s">
        <v>16</v>
      </c>
      <c r="F1360" s="4" t="s">
        <v>17</v>
      </c>
      <c r="G1360" s="7">
        <v>21534735847.97</v>
      </c>
    </row>
    <row ht="12.8" outlineLevel="0" r="1361">
      <c r="A1361" s="17">
        <v>43191</v>
      </c>
      <c r="B1361" s="4" t="s">
        <v>29</v>
      </c>
      <c r="C1361" s="4" t="s">
        <v>30</v>
      </c>
      <c r="D1361" s="4" t="s">
        <v>31</v>
      </c>
      <c r="E1361" s="4" t="s">
        <v>14</v>
      </c>
      <c r="F1361" s="4" t="s">
        <v>15</v>
      </c>
      <c r="G1361" s="7">
        <v>138203440764.2</v>
      </c>
    </row>
    <row ht="12.8" outlineLevel="0" r="1362">
      <c r="A1362" s="17">
        <v>43191</v>
      </c>
      <c r="B1362" s="4" t="s">
        <v>7</v>
      </c>
      <c r="C1362" s="4" t="s">
        <v>8</v>
      </c>
      <c r="D1362" s="4" t="s">
        <v>9</v>
      </c>
      <c r="E1362" s="4" t="s">
        <v>14</v>
      </c>
      <c r="F1362" s="4" t="s">
        <v>15</v>
      </c>
      <c r="G1362" s="7">
        <v>275227730614.77</v>
      </c>
    </row>
    <row ht="12.8" outlineLevel="0" r="1363">
      <c r="A1363" s="17">
        <v>43191</v>
      </c>
      <c r="B1363" s="4" t="s">
        <v>38</v>
      </c>
      <c r="C1363" s="4" t="s">
        <v>39</v>
      </c>
      <c r="D1363" s="4" t="s">
        <v>40</v>
      </c>
      <c r="E1363" s="4" t="s">
        <v>10</v>
      </c>
      <c r="F1363" s="4" t="s">
        <v>11</v>
      </c>
      <c r="G1363" s="7">
        <v>25605064763</v>
      </c>
    </row>
    <row ht="12.8" outlineLevel="0" r="1364">
      <c r="A1364" s="17">
        <v>43191</v>
      </c>
      <c r="B1364" s="4" t="s">
        <v>26</v>
      </c>
      <c r="C1364" s="4" t="s">
        <v>27</v>
      </c>
      <c r="D1364" s="4" t="s">
        <v>28</v>
      </c>
      <c r="E1364" s="4" t="s">
        <v>14</v>
      </c>
      <c r="F1364" s="4" t="s">
        <v>15</v>
      </c>
      <c r="G1364" s="7">
        <v>225284207185.575</v>
      </c>
    </row>
    <row ht="12.8" outlineLevel="0" r="1365">
      <c r="A1365" s="17">
        <v>43191</v>
      </c>
      <c r="B1365" s="4" t="s">
        <v>12</v>
      </c>
      <c r="C1365" s="4" t="s">
        <v>8</v>
      </c>
      <c r="D1365" s="4" t="s">
        <v>9</v>
      </c>
      <c r="E1365" s="4" t="s">
        <v>14</v>
      </c>
      <c r="F1365" s="4" t="s">
        <v>15</v>
      </c>
      <c r="G1365" s="7">
        <v>484265395754.89</v>
      </c>
    </row>
    <row ht="12.8" outlineLevel="0" r="1366">
      <c r="A1366" s="17">
        <v>43191</v>
      </c>
      <c r="B1366" s="4" t="s">
        <v>35</v>
      </c>
      <c r="C1366" s="4" t="s">
        <v>36</v>
      </c>
      <c r="D1366" s="4" t="s">
        <v>37</v>
      </c>
      <c r="E1366" s="4" t="s">
        <v>14</v>
      </c>
      <c r="F1366" s="4" t="s">
        <v>15</v>
      </c>
      <c r="G1366" s="7">
        <v>41005848321.15</v>
      </c>
    </row>
    <row ht="12.8" outlineLevel="0" r="1367">
      <c r="A1367" s="17">
        <v>43191</v>
      </c>
      <c r="B1367" s="4" t="s">
        <v>22</v>
      </c>
      <c r="C1367" s="4" t="s">
        <v>23</v>
      </c>
      <c r="D1367" s="4" t="s">
        <v>24</v>
      </c>
      <c r="E1367" s="4" t="s">
        <v>14</v>
      </c>
      <c r="F1367" s="4" t="s">
        <v>15</v>
      </c>
      <c r="G1367" s="7">
        <v>249940377550.84</v>
      </c>
    </row>
    <row ht="12.8" outlineLevel="0" r="1368">
      <c r="A1368" s="17">
        <v>43191</v>
      </c>
      <c r="B1368" s="4" t="s">
        <v>13</v>
      </c>
      <c r="C1368" s="4" t="s">
        <v>8</v>
      </c>
      <c r="D1368" s="4" t="s">
        <v>9</v>
      </c>
      <c r="E1368" s="4" t="s">
        <v>14</v>
      </c>
      <c r="F1368" s="4" t="s">
        <v>15</v>
      </c>
      <c r="G1368" s="7">
        <v>214102369611.514</v>
      </c>
    </row>
    <row ht="12.8" outlineLevel="0" r="1369">
      <c r="A1369" s="17">
        <v>43191</v>
      </c>
      <c r="B1369" s="4" t="s">
        <v>32</v>
      </c>
      <c r="C1369" s="4" t="s">
        <v>33</v>
      </c>
      <c r="D1369" s="4" t="s">
        <v>34</v>
      </c>
      <c r="E1369" s="4" t="s">
        <v>14</v>
      </c>
      <c r="F1369" s="4" t="s">
        <v>15</v>
      </c>
      <c r="G1369" s="7">
        <v>15507979374.32</v>
      </c>
    </row>
    <row ht="12.8" outlineLevel="0" r="1370">
      <c r="A1370" s="17">
        <v>43191</v>
      </c>
      <c r="B1370" s="4" t="s">
        <v>7</v>
      </c>
      <c r="C1370" s="4" t="s">
        <v>8</v>
      </c>
      <c r="D1370" s="4" t="s">
        <v>9</v>
      </c>
      <c r="E1370" s="4" t="s">
        <v>10</v>
      </c>
      <c r="F1370" s="4" t="s">
        <v>11</v>
      </c>
      <c r="G1370" s="7">
        <v>336016286660.59</v>
      </c>
    </row>
    <row ht="12.8" outlineLevel="0" r="1371">
      <c r="A1371" s="17">
        <v>43191</v>
      </c>
      <c r="B1371" s="4" t="s">
        <v>12</v>
      </c>
      <c r="C1371" s="4" t="s">
        <v>8</v>
      </c>
      <c r="D1371" s="4" t="s">
        <v>9</v>
      </c>
      <c r="E1371" s="4" t="s">
        <v>10</v>
      </c>
      <c r="F1371" s="4" t="s">
        <v>11</v>
      </c>
      <c r="G1371" s="7">
        <v>592372705890</v>
      </c>
    </row>
    <row ht="12.8" outlineLevel="0" r="1372">
      <c r="A1372" s="17">
        <v>43191</v>
      </c>
      <c r="B1372" s="4" t="s">
        <v>26</v>
      </c>
      <c r="C1372" s="4" t="s">
        <v>27</v>
      </c>
      <c r="D1372" s="4" t="s">
        <v>28</v>
      </c>
      <c r="E1372" s="4" t="s">
        <v>10</v>
      </c>
      <c r="F1372" s="4" t="s">
        <v>11</v>
      </c>
      <c r="G1372" s="7">
        <v>328172718514</v>
      </c>
    </row>
    <row ht="12.8" outlineLevel="0" r="1373">
      <c r="A1373" s="17">
        <v>43191</v>
      </c>
      <c r="B1373" s="4" t="s">
        <v>29</v>
      </c>
      <c r="C1373" s="4" t="s">
        <v>30</v>
      </c>
      <c r="D1373" s="4" t="s">
        <v>31</v>
      </c>
      <c r="E1373" s="4" t="s">
        <v>10</v>
      </c>
      <c r="F1373" s="4" t="s">
        <v>11</v>
      </c>
      <c r="G1373" s="7">
        <v>366241343760</v>
      </c>
    </row>
    <row ht="12.8" outlineLevel="0" r="1374">
      <c r="A1374" s="17">
        <v>43191</v>
      </c>
      <c r="B1374" s="4" t="s">
        <v>13</v>
      </c>
      <c r="C1374" s="4" t="s">
        <v>8</v>
      </c>
      <c r="D1374" s="4" t="s">
        <v>9</v>
      </c>
      <c r="E1374" s="4" t="s">
        <v>10</v>
      </c>
      <c r="F1374" s="4" t="s">
        <v>11</v>
      </c>
      <c r="G1374" s="7">
        <v>319401974182.37</v>
      </c>
    </row>
    <row ht="12.8" outlineLevel="0" r="1375">
      <c r="A1375" s="17">
        <v>43191</v>
      </c>
      <c r="B1375" s="4" t="s">
        <v>22</v>
      </c>
      <c r="C1375" s="4" t="s">
        <v>23</v>
      </c>
      <c r="D1375" s="4" t="s">
        <v>24</v>
      </c>
      <c r="E1375" s="4" t="s">
        <v>10</v>
      </c>
      <c r="F1375" s="4" t="s">
        <v>11</v>
      </c>
      <c r="G1375" s="7">
        <v>323004470012</v>
      </c>
    </row>
    <row ht="12.8" outlineLevel="0" r="1376">
      <c r="A1376" s="17">
        <v>43191</v>
      </c>
      <c r="B1376" s="4" t="s">
        <v>25</v>
      </c>
      <c r="C1376" s="4" t="s">
        <v>23</v>
      </c>
      <c r="D1376" s="4" t="s">
        <v>24</v>
      </c>
      <c r="E1376" s="4" t="s">
        <v>10</v>
      </c>
      <c r="F1376" s="4" t="s">
        <v>11</v>
      </c>
      <c r="G1376" s="7">
        <v>1089581458431</v>
      </c>
    </row>
    <row ht="12.8" outlineLevel="0" r="1377">
      <c r="A1377" s="17">
        <v>43191</v>
      </c>
      <c r="B1377" s="4" t="s">
        <v>32</v>
      </c>
      <c r="C1377" s="4" t="s">
        <v>33</v>
      </c>
      <c r="D1377" s="4" t="s">
        <v>34</v>
      </c>
      <c r="E1377" s="4" t="s">
        <v>10</v>
      </c>
      <c r="F1377" s="4" t="s">
        <v>11</v>
      </c>
      <c r="G1377" s="7">
        <v>42788448814</v>
      </c>
    </row>
    <row ht="12.8" outlineLevel="0" r="1378">
      <c r="A1378" s="17">
        <v>43191</v>
      </c>
      <c r="B1378" s="4" t="s">
        <v>35</v>
      </c>
      <c r="C1378" s="4" t="s">
        <v>36</v>
      </c>
      <c r="D1378" s="4" t="s">
        <v>37</v>
      </c>
      <c r="E1378" s="4" t="s">
        <v>10</v>
      </c>
      <c r="F1378" s="4" t="s">
        <v>11</v>
      </c>
      <c r="G1378" s="7">
        <v>82411155023</v>
      </c>
    </row>
    <row ht="12.8" outlineLevel="0" r="1379">
      <c r="A1379" s="17">
        <v>43191</v>
      </c>
      <c r="B1379" s="4" t="s">
        <v>25</v>
      </c>
      <c r="C1379" s="4" t="s">
        <v>23</v>
      </c>
      <c r="D1379" s="4" t="s">
        <v>24</v>
      </c>
      <c r="E1379" s="4" t="s">
        <v>14</v>
      </c>
      <c r="F1379" s="4" t="s">
        <v>15</v>
      </c>
      <c r="G1379" s="7">
        <v>549973214378.5</v>
      </c>
    </row>
    <row ht="12.8" outlineLevel="0" r="1380">
      <c r="A1380" s="17">
        <v>43191</v>
      </c>
      <c r="B1380" s="4" t="s">
        <v>7</v>
      </c>
      <c r="C1380" s="4" t="s">
        <v>8</v>
      </c>
      <c r="D1380" s="4" t="s">
        <v>9</v>
      </c>
      <c r="E1380" s="4" t="s">
        <v>18</v>
      </c>
      <c r="F1380" s="4" t="s">
        <v>19</v>
      </c>
      <c r="G1380" s="7">
        <v>103800045535.91</v>
      </c>
    </row>
    <row ht="12.8" outlineLevel="0" r="1381">
      <c r="A1381" s="17">
        <v>43191</v>
      </c>
      <c r="B1381" s="4" t="s">
        <v>12</v>
      </c>
      <c r="C1381" s="4" t="s">
        <v>8</v>
      </c>
      <c r="D1381" s="4" t="s">
        <v>9</v>
      </c>
      <c r="E1381" s="4" t="s">
        <v>18</v>
      </c>
      <c r="F1381" s="4" t="s">
        <v>19</v>
      </c>
      <c r="G1381" s="7">
        <v>165068315663.77</v>
      </c>
    </row>
    <row ht="12.8" outlineLevel="0" r="1382">
      <c r="A1382" s="17">
        <v>43191</v>
      </c>
      <c r="B1382" s="4" t="s">
        <v>26</v>
      </c>
      <c r="C1382" s="4" t="s">
        <v>27</v>
      </c>
      <c r="D1382" s="4" t="s">
        <v>28</v>
      </c>
      <c r="E1382" s="4" t="s">
        <v>18</v>
      </c>
      <c r="F1382" s="4" t="s">
        <v>19</v>
      </c>
      <c r="G1382" s="7">
        <v>99156708732.0733</v>
      </c>
    </row>
    <row ht="12.8" outlineLevel="0" r="1383">
      <c r="A1383" s="17">
        <v>43191</v>
      </c>
      <c r="B1383" s="4" t="s">
        <v>29</v>
      </c>
      <c r="C1383" s="4" t="s">
        <v>30</v>
      </c>
      <c r="D1383" s="4" t="s">
        <v>31</v>
      </c>
      <c r="E1383" s="4" t="s">
        <v>18</v>
      </c>
      <c r="F1383" s="4" t="s">
        <v>19</v>
      </c>
      <c r="G1383" s="7">
        <v>116133546768.01</v>
      </c>
    </row>
    <row ht="12.8" outlineLevel="0" r="1384">
      <c r="A1384" s="17">
        <v>43191</v>
      </c>
      <c r="B1384" s="4" t="s">
        <v>13</v>
      </c>
      <c r="C1384" s="4" t="s">
        <v>8</v>
      </c>
      <c r="D1384" s="4" t="s">
        <v>9</v>
      </c>
      <c r="E1384" s="4" t="s">
        <v>18</v>
      </c>
      <c r="F1384" s="4" t="s">
        <v>19</v>
      </c>
      <c r="G1384" s="7">
        <v>83867574427.3523</v>
      </c>
    </row>
    <row ht="12.8" outlineLevel="0" r="1385">
      <c r="A1385" s="17">
        <v>43191</v>
      </c>
      <c r="B1385" s="4" t="s">
        <v>22</v>
      </c>
      <c r="C1385" s="4" t="s">
        <v>23</v>
      </c>
      <c r="D1385" s="4" t="s">
        <v>24</v>
      </c>
      <c r="E1385" s="4" t="s">
        <v>18</v>
      </c>
      <c r="F1385" s="4" t="s">
        <v>19</v>
      </c>
      <c r="G1385" s="7">
        <v>124858493322.31</v>
      </c>
    </row>
    <row ht="12.8" outlineLevel="0" r="1386">
      <c r="A1386" s="17">
        <v>43191</v>
      </c>
      <c r="B1386" s="4" t="s">
        <v>25</v>
      </c>
      <c r="C1386" s="4" t="s">
        <v>23</v>
      </c>
      <c r="D1386" s="4" t="s">
        <v>24</v>
      </c>
      <c r="E1386" s="4" t="s">
        <v>18</v>
      </c>
      <c r="F1386" s="4" t="s">
        <v>19</v>
      </c>
      <c r="G1386" s="7">
        <v>226802330980.94</v>
      </c>
    </row>
    <row ht="12.8" outlineLevel="0" r="1387">
      <c r="A1387" s="17">
        <v>43191</v>
      </c>
      <c r="B1387" s="4" t="s">
        <v>32</v>
      </c>
      <c r="C1387" s="4" t="s">
        <v>33</v>
      </c>
      <c r="D1387" s="4" t="s">
        <v>34</v>
      </c>
      <c r="E1387" s="4" t="s">
        <v>18</v>
      </c>
      <c r="F1387" s="4" t="s">
        <v>19</v>
      </c>
      <c r="G1387" s="7">
        <v>1160057320.814</v>
      </c>
    </row>
    <row ht="12.8" outlineLevel="0" r="1388">
      <c r="A1388" s="17">
        <v>43191</v>
      </c>
      <c r="B1388" s="4" t="s">
        <v>35</v>
      </c>
      <c r="C1388" s="4" t="s">
        <v>36</v>
      </c>
      <c r="D1388" s="4" t="s">
        <v>37</v>
      </c>
      <c r="E1388" s="4" t="s">
        <v>18</v>
      </c>
      <c r="F1388" s="4" t="s">
        <v>19</v>
      </c>
      <c r="G1388" s="7">
        <v>15324121015.66</v>
      </c>
    </row>
    <row ht="12.8" outlineLevel="0" r="1389">
      <c r="A1389" s="17">
        <v>43191</v>
      </c>
      <c r="B1389" s="4" t="s">
        <v>7</v>
      </c>
      <c r="C1389" s="4" t="s">
        <v>8</v>
      </c>
      <c r="D1389" s="4" t="s">
        <v>9</v>
      </c>
      <c r="E1389" s="4" t="s">
        <v>16</v>
      </c>
      <c r="F1389" s="4" t="s">
        <v>17</v>
      </c>
      <c r="G1389" s="7">
        <v>103852532099.5</v>
      </c>
    </row>
    <row ht="12.8" outlineLevel="0" r="1390">
      <c r="A1390" s="17">
        <v>43191</v>
      </c>
      <c r="B1390" s="4" t="s">
        <v>12</v>
      </c>
      <c r="C1390" s="4" t="s">
        <v>8</v>
      </c>
      <c r="D1390" s="4" t="s">
        <v>9</v>
      </c>
      <c r="E1390" s="4" t="s">
        <v>16</v>
      </c>
      <c r="F1390" s="4" t="s">
        <v>17</v>
      </c>
      <c r="G1390" s="7">
        <v>184757964429.88</v>
      </c>
    </row>
    <row ht="12.8" outlineLevel="0" r="1391">
      <c r="A1391" s="17">
        <v>43191</v>
      </c>
      <c r="B1391" s="4" t="s">
        <v>26</v>
      </c>
      <c r="C1391" s="4" t="s">
        <v>27</v>
      </c>
      <c r="D1391" s="4" t="s">
        <v>28</v>
      </c>
      <c r="E1391" s="4" t="s">
        <v>16</v>
      </c>
      <c r="F1391" s="4" t="s">
        <v>17</v>
      </c>
      <c r="G1391" s="7">
        <v>100526410608.703</v>
      </c>
    </row>
    <row ht="12.8" outlineLevel="0" r="1392">
      <c r="A1392" s="17">
        <v>43191</v>
      </c>
      <c r="B1392" s="4" t="s">
        <v>29</v>
      </c>
      <c r="C1392" s="4" t="s">
        <v>30</v>
      </c>
      <c r="D1392" s="4" t="s">
        <v>31</v>
      </c>
      <c r="E1392" s="4" t="s">
        <v>16</v>
      </c>
      <c r="F1392" s="4" t="s">
        <v>17</v>
      </c>
      <c r="G1392" s="7">
        <v>116133546768.01</v>
      </c>
    </row>
    <row ht="12.8" outlineLevel="0" r="1393">
      <c r="A1393" s="17">
        <v>43191</v>
      </c>
      <c r="B1393" s="4" t="s">
        <v>13</v>
      </c>
      <c r="C1393" s="4" t="s">
        <v>8</v>
      </c>
      <c r="D1393" s="4" t="s">
        <v>9</v>
      </c>
      <c r="E1393" s="4" t="s">
        <v>16</v>
      </c>
      <c r="F1393" s="4" t="s">
        <v>17</v>
      </c>
      <c r="G1393" s="7">
        <v>87150855170.3226</v>
      </c>
    </row>
    <row ht="12.8" outlineLevel="0" r="1394">
      <c r="A1394" s="17">
        <v>43191</v>
      </c>
      <c r="B1394" s="4" t="s">
        <v>22</v>
      </c>
      <c r="C1394" s="4" t="s">
        <v>23</v>
      </c>
      <c r="D1394" s="4" t="s">
        <v>24</v>
      </c>
      <c r="E1394" s="4" t="s">
        <v>16</v>
      </c>
      <c r="F1394" s="4" t="s">
        <v>17</v>
      </c>
      <c r="G1394" s="7">
        <v>124858493322.31</v>
      </c>
    </row>
    <row ht="12.8" outlineLevel="0" r="1395">
      <c r="A1395" s="17">
        <v>43191</v>
      </c>
      <c r="B1395" s="4" t="s">
        <v>25</v>
      </c>
      <c r="C1395" s="4" t="s">
        <v>23</v>
      </c>
      <c r="D1395" s="4" t="s">
        <v>24</v>
      </c>
      <c r="E1395" s="4" t="s">
        <v>16</v>
      </c>
      <c r="F1395" s="4" t="s">
        <v>17</v>
      </c>
      <c r="G1395" s="7">
        <v>226802330980.94</v>
      </c>
    </row>
    <row ht="12.8" outlineLevel="0" r="1396">
      <c r="A1396" s="17">
        <v>43191</v>
      </c>
      <c r="B1396" s="4" t="s">
        <v>32</v>
      </c>
      <c r="C1396" s="4" t="s">
        <v>33</v>
      </c>
      <c r="D1396" s="4" t="s">
        <v>34</v>
      </c>
      <c r="E1396" s="4" t="s">
        <v>16</v>
      </c>
      <c r="F1396" s="4" t="s">
        <v>17</v>
      </c>
      <c r="G1396" s="7">
        <v>1276013969.344</v>
      </c>
    </row>
    <row ht="12.8" outlineLevel="0" r="1397">
      <c r="A1397" s="17">
        <v>43191</v>
      </c>
      <c r="B1397" s="4" t="s">
        <v>35</v>
      </c>
      <c r="C1397" s="4" t="s">
        <v>36</v>
      </c>
      <c r="D1397" s="4" t="s">
        <v>37</v>
      </c>
      <c r="E1397" s="4" t="s">
        <v>16</v>
      </c>
      <c r="F1397" s="4" t="s">
        <v>17</v>
      </c>
      <c r="G1397" s="7">
        <v>16761517124.32</v>
      </c>
    </row>
    <row ht="12.8" outlineLevel="0" r="1398">
      <c r="A1398" s="17">
        <v>43160</v>
      </c>
      <c r="B1398" s="4" t="s">
        <v>29</v>
      </c>
      <c r="C1398" s="4" t="s">
        <v>30</v>
      </c>
      <c r="D1398" s="4" t="s">
        <v>31</v>
      </c>
      <c r="E1398" s="4" t="s">
        <v>14</v>
      </c>
      <c r="F1398" s="4" t="s">
        <v>15</v>
      </c>
      <c r="G1398" s="7">
        <v>120915624399.58</v>
      </c>
    </row>
    <row ht="12.8" outlineLevel="0" r="1399">
      <c r="A1399" s="17">
        <v>43160</v>
      </c>
      <c r="B1399" s="4" t="s">
        <v>7</v>
      </c>
      <c r="C1399" s="4" t="s">
        <v>8</v>
      </c>
      <c r="D1399" s="4" t="s">
        <v>9</v>
      </c>
      <c r="E1399" s="4" t="s">
        <v>14</v>
      </c>
      <c r="F1399" s="4" t="s">
        <v>15</v>
      </c>
      <c r="G1399" s="7">
        <v>267764092614.19</v>
      </c>
    </row>
    <row ht="12.8" outlineLevel="0" r="1400">
      <c r="A1400" s="17">
        <v>43160</v>
      </c>
      <c r="B1400" s="4" t="s">
        <v>38</v>
      </c>
      <c r="C1400" s="4" t="s">
        <v>39</v>
      </c>
      <c r="D1400" s="4" t="s">
        <v>40</v>
      </c>
      <c r="E1400" s="4" t="s">
        <v>10</v>
      </c>
      <c r="F1400" s="4" t="s">
        <v>11</v>
      </c>
      <c r="G1400" s="7">
        <v>25880804713</v>
      </c>
    </row>
    <row ht="12.8" outlineLevel="0" r="1401">
      <c r="A1401" s="17">
        <v>43160</v>
      </c>
      <c r="B1401" s="4" t="s">
        <v>26</v>
      </c>
      <c r="C1401" s="4" t="s">
        <v>27</v>
      </c>
      <c r="D1401" s="4" t="s">
        <v>28</v>
      </c>
      <c r="E1401" s="4" t="s">
        <v>14</v>
      </c>
      <c r="F1401" s="4" t="s">
        <v>15</v>
      </c>
      <c r="G1401" s="7">
        <v>215351009090.077</v>
      </c>
    </row>
    <row ht="12.8" outlineLevel="0" r="1402">
      <c r="A1402" s="17">
        <v>43160</v>
      </c>
      <c r="B1402" s="4" t="s">
        <v>12</v>
      </c>
      <c r="C1402" s="4" t="s">
        <v>8</v>
      </c>
      <c r="D1402" s="4" t="s">
        <v>9</v>
      </c>
      <c r="E1402" s="4" t="s">
        <v>14</v>
      </c>
      <c r="F1402" s="4" t="s">
        <v>15</v>
      </c>
      <c r="G1402" s="7">
        <v>483391487802.84</v>
      </c>
    </row>
    <row ht="12.8" outlineLevel="0" r="1403">
      <c r="A1403" s="17">
        <v>43160</v>
      </c>
      <c r="B1403" s="4" t="s">
        <v>35</v>
      </c>
      <c r="C1403" s="4" t="s">
        <v>36</v>
      </c>
      <c r="D1403" s="4" t="s">
        <v>37</v>
      </c>
      <c r="E1403" s="4" t="s">
        <v>14</v>
      </c>
      <c r="F1403" s="4" t="s">
        <v>15</v>
      </c>
      <c r="G1403" s="7">
        <v>37196935103.83</v>
      </c>
    </row>
    <row ht="12.8" outlineLevel="0" r="1404">
      <c r="A1404" s="17">
        <v>43160</v>
      </c>
      <c r="B1404" s="4" t="s">
        <v>22</v>
      </c>
      <c r="C1404" s="4" t="s">
        <v>23</v>
      </c>
      <c r="D1404" s="4" t="s">
        <v>24</v>
      </c>
      <c r="E1404" s="4" t="s">
        <v>14</v>
      </c>
      <c r="F1404" s="4" t="s">
        <v>15</v>
      </c>
      <c r="G1404" s="7">
        <v>234984564687.64</v>
      </c>
    </row>
    <row ht="12.8" outlineLevel="0" r="1405">
      <c r="A1405" s="17">
        <v>43160</v>
      </c>
      <c r="B1405" s="4" t="s">
        <v>13</v>
      </c>
      <c r="C1405" s="4" t="s">
        <v>8</v>
      </c>
      <c r="D1405" s="4" t="s">
        <v>9</v>
      </c>
      <c r="E1405" s="4" t="s">
        <v>14</v>
      </c>
      <c r="F1405" s="4" t="s">
        <v>15</v>
      </c>
      <c r="G1405" s="7">
        <v>186719724850.752</v>
      </c>
    </row>
    <row ht="12.8" outlineLevel="0" r="1406">
      <c r="A1406" s="17">
        <v>43160</v>
      </c>
      <c r="B1406" s="4" t="s">
        <v>32</v>
      </c>
      <c r="C1406" s="4" t="s">
        <v>33</v>
      </c>
      <c r="D1406" s="4" t="s">
        <v>34</v>
      </c>
      <c r="E1406" s="4" t="s">
        <v>14</v>
      </c>
      <c r="F1406" s="4" t="s">
        <v>15</v>
      </c>
      <c r="G1406" s="7">
        <v>10858064983.4175</v>
      </c>
    </row>
    <row ht="12.8" outlineLevel="0" r="1407">
      <c r="A1407" s="17">
        <v>43160</v>
      </c>
      <c r="B1407" s="4" t="s">
        <v>7</v>
      </c>
      <c r="C1407" s="4" t="s">
        <v>8</v>
      </c>
      <c r="D1407" s="4" t="s">
        <v>9</v>
      </c>
      <c r="E1407" s="4" t="s">
        <v>10</v>
      </c>
      <c r="F1407" s="4" t="s">
        <v>11</v>
      </c>
      <c r="G1407" s="7">
        <v>335594440723.15</v>
      </c>
    </row>
    <row ht="12.8" outlineLevel="0" r="1408">
      <c r="A1408" s="17">
        <v>43160</v>
      </c>
      <c r="B1408" s="4" t="s">
        <v>12</v>
      </c>
      <c r="C1408" s="4" t="s">
        <v>8</v>
      </c>
      <c r="D1408" s="4" t="s">
        <v>9</v>
      </c>
      <c r="E1408" s="4" t="s">
        <v>10</v>
      </c>
      <c r="F1408" s="4" t="s">
        <v>11</v>
      </c>
      <c r="G1408" s="7">
        <v>595768399679</v>
      </c>
    </row>
    <row ht="12.8" outlineLevel="0" r="1409">
      <c r="A1409" s="17">
        <v>43160</v>
      </c>
      <c r="B1409" s="4" t="s">
        <v>26</v>
      </c>
      <c r="C1409" s="4" t="s">
        <v>27</v>
      </c>
      <c r="D1409" s="4" t="s">
        <v>28</v>
      </c>
      <c r="E1409" s="4" t="s">
        <v>10</v>
      </c>
      <c r="F1409" s="4" t="s">
        <v>11</v>
      </c>
      <c r="G1409" s="7">
        <v>322597100128</v>
      </c>
    </row>
    <row ht="12.8" outlineLevel="0" r="1410">
      <c r="A1410" s="17">
        <v>43160</v>
      </c>
      <c r="B1410" s="4" t="s">
        <v>29</v>
      </c>
      <c r="C1410" s="4" t="s">
        <v>30</v>
      </c>
      <c r="D1410" s="4" t="s">
        <v>31</v>
      </c>
      <c r="E1410" s="4" t="s">
        <v>10</v>
      </c>
      <c r="F1410" s="4" t="s">
        <v>11</v>
      </c>
      <c r="G1410" s="7">
        <v>366241343760</v>
      </c>
    </row>
    <row ht="12.8" outlineLevel="0" r="1411">
      <c r="A1411" s="17">
        <v>43160</v>
      </c>
      <c r="B1411" s="4" t="s">
        <v>13</v>
      </c>
      <c r="C1411" s="4" t="s">
        <v>8</v>
      </c>
      <c r="D1411" s="4" t="s">
        <v>9</v>
      </c>
      <c r="E1411" s="4" t="s">
        <v>10</v>
      </c>
      <c r="F1411" s="4" t="s">
        <v>11</v>
      </c>
      <c r="G1411" s="7">
        <v>322048418383.87</v>
      </c>
    </row>
    <row ht="12.8" outlineLevel="0" r="1412">
      <c r="A1412" s="17">
        <v>43160</v>
      </c>
      <c r="B1412" s="4" t="s">
        <v>22</v>
      </c>
      <c r="C1412" s="4" t="s">
        <v>23</v>
      </c>
      <c r="D1412" s="4" t="s">
        <v>24</v>
      </c>
      <c r="E1412" s="4" t="s">
        <v>10</v>
      </c>
      <c r="F1412" s="4" t="s">
        <v>11</v>
      </c>
      <c r="G1412" s="7">
        <v>306031993012</v>
      </c>
    </row>
    <row ht="12.8" outlineLevel="0" r="1413">
      <c r="A1413" s="17">
        <v>43160</v>
      </c>
      <c r="B1413" s="4" t="s">
        <v>25</v>
      </c>
      <c r="C1413" s="4" t="s">
        <v>23</v>
      </c>
      <c r="D1413" s="4" t="s">
        <v>24</v>
      </c>
      <c r="E1413" s="4" t="s">
        <v>10</v>
      </c>
      <c r="F1413" s="4" t="s">
        <v>11</v>
      </c>
      <c r="G1413" s="7">
        <v>1106553935431</v>
      </c>
    </row>
    <row ht="12.8" outlineLevel="0" r="1414">
      <c r="A1414" s="17">
        <v>43160</v>
      </c>
      <c r="B1414" s="4" t="s">
        <v>32</v>
      </c>
      <c r="C1414" s="4" t="s">
        <v>33</v>
      </c>
      <c r="D1414" s="4" t="s">
        <v>34</v>
      </c>
      <c r="E1414" s="4" t="s">
        <v>10</v>
      </c>
      <c r="F1414" s="4" t="s">
        <v>11</v>
      </c>
      <c r="G1414" s="7">
        <v>42797280924</v>
      </c>
    </row>
    <row ht="12.8" outlineLevel="0" r="1415">
      <c r="A1415" s="17">
        <v>43160</v>
      </c>
      <c r="B1415" s="4" t="s">
        <v>35</v>
      </c>
      <c r="C1415" s="4" t="s">
        <v>36</v>
      </c>
      <c r="D1415" s="4" t="s">
        <v>37</v>
      </c>
      <c r="E1415" s="4" t="s">
        <v>10</v>
      </c>
      <c r="F1415" s="4" t="s">
        <v>11</v>
      </c>
      <c r="G1415" s="7">
        <v>82412975023</v>
      </c>
    </row>
    <row ht="12.8" outlineLevel="0" r="1416">
      <c r="A1416" s="17">
        <v>43160</v>
      </c>
      <c r="B1416" s="4" t="s">
        <v>25</v>
      </c>
      <c r="C1416" s="4" t="s">
        <v>23</v>
      </c>
      <c r="D1416" s="4" t="s">
        <v>24</v>
      </c>
      <c r="E1416" s="4" t="s">
        <v>14</v>
      </c>
      <c r="F1416" s="4" t="s">
        <v>15</v>
      </c>
      <c r="G1416" s="7">
        <v>549772493390.62</v>
      </c>
    </row>
    <row ht="12.8" outlineLevel="0" r="1417">
      <c r="A1417" s="17">
        <v>43160</v>
      </c>
      <c r="B1417" s="4" t="s">
        <v>7</v>
      </c>
      <c r="C1417" s="4" t="s">
        <v>8</v>
      </c>
      <c r="D1417" s="4" t="s">
        <v>9</v>
      </c>
      <c r="E1417" s="4" t="s">
        <v>18</v>
      </c>
      <c r="F1417" s="4" t="s">
        <v>19</v>
      </c>
      <c r="G1417" s="7">
        <v>78322922425.74</v>
      </c>
    </row>
    <row ht="12.8" outlineLevel="0" r="1418">
      <c r="A1418" s="17">
        <v>43160</v>
      </c>
      <c r="B1418" s="4" t="s">
        <v>12</v>
      </c>
      <c r="C1418" s="4" t="s">
        <v>8</v>
      </c>
      <c r="D1418" s="4" t="s">
        <v>9</v>
      </c>
      <c r="E1418" s="4" t="s">
        <v>18</v>
      </c>
      <c r="F1418" s="4" t="s">
        <v>19</v>
      </c>
      <c r="G1418" s="7">
        <v>120028646775.61</v>
      </c>
    </row>
    <row ht="12.8" outlineLevel="0" r="1419">
      <c r="A1419" s="17">
        <v>43160</v>
      </c>
      <c r="B1419" s="4" t="s">
        <v>26</v>
      </c>
      <c r="C1419" s="4" t="s">
        <v>27</v>
      </c>
      <c r="D1419" s="4" t="s">
        <v>28</v>
      </c>
      <c r="E1419" s="4" t="s">
        <v>18</v>
      </c>
      <c r="F1419" s="4" t="s">
        <v>19</v>
      </c>
      <c r="G1419" s="7">
        <v>75311974700.4623</v>
      </c>
    </row>
    <row ht="12.8" outlineLevel="0" r="1420">
      <c r="A1420" s="17">
        <v>43160</v>
      </c>
      <c r="B1420" s="4" t="s">
        <v>29</v>
      </c>
      <c r="C1420" s="4" t="s">
        <v>30</v>
      </c>
      <c r="D1420" s="4" t="s">
        <v>31</v>
      </c>
      <c r="E1420" s="4" t="s">
        <v>18</v>
      </c>
      <c r="F1420" s="4" t="s">
        <v>19</v>
      </c>
      <c r="G1420" s="7">
        <v>97118882146.09</v>
      </c>
    </row>
    <row ht="12.8" outlineLevel="0" r="1421">
      <c r="A1421" s="17">
        <v>43160</v>
      </c>
      <c r="B1421" s="4" t="s">
        <v>13</v>
      </c>
      <c r="C1421" s="4" t="s">
        <v>8</v>
      </c>
      <c r="D1421" s="4" t="s">
        <v>9</v>
      </c>
      <c r="E1421" s="4" t="s">
        <v>18</v>
      </c>
      <c r="F1421" s="4" t="s">
        <v>19</v>
      </c>
      <c r="G1421" s="7">
        <v>53678999410.2198</v>
      </c>
    </row>
    <row ht="12.8" outlineLevel="0" r="1422">
      <c r="A1422" s="17">
        <v>43160</v>
      </c>
      <c r="B1422" s="4" t="s">
        <v>22</v>
      </c>
      <c r="C1422" s="4" t="s">
        <v>23</v>
      </c>
      <c r="D1422" s="4" t="s">
        <v>24</v>
      </c>
      <c r="E1422" s="4" t="s">
        <v>18</v>
      </c>
      <c r="F1422" s="4" t="s">
        <v>19</v>
      </c>
      <c r="G1422" s="7">
        <v>76855465555.81</v>
      </c>
    </row>
    <row ht="12.8" outlineLevel="0" r="1423">
      <c r="A1423" s="17">
        <v>43160</v>
      </c>
      <c r="B1423" s="4" t="s">
        <v>25</v>
      </c>
      <c r="C1423" s="4" t="s">
        <v>23</v>
      </c>
      <c r="D1423" s="4" t="s">
        <v>24</v>
      </c>
      <c r="E1423" s="4" t="s">
        <v>18</v>
      </c>
      <c r="F1423" s="4" t="s">
        <v>19</v>
      </c>
      <c r="G1423" s="7">
        <v>175036961187.25</v>
      </c>
    </row>
    <row ht="12.8" outlineLevel="0" r="1424">
      <c r="A1424" s="17">
        <v>43160</v>
      </c>
      <c r="B1424" s="4" t="s">
        <v>32</v>
      </c>
      <c r="C1424" s="4" t="s">
        <v>33</v>
      </c>
      <c r="D1424" s="4" t="s">
        <v>34</v>
      </c>
      <c r="E1424" s="4" t="s">
        <v>18</v>
      </c>
      <c r="F1424" s="4" t="s">
        <v>19</v>
      </c>
      <c r="G1424" s="7">
        <v>376222687.8714</v>
      </c>
    </row>
    <row ht="12.8" outlineLevel="0" r="1425">
      <c r="A1425" s="17">
        <v>43160</v>
      </c>
      <c r="B1425" s="4" t="s">
        <v>35</v>
      </c>
      <c r="C1425" s="4" t="s">
        <v>36</v>
      </c>
      <c r="D1425" s="4" t="s">
        <v>37</v>
      </c>
      <c r="E1425" s="4" t="s">
        <v>18</v>
      </c>
      <c r="F1425" s="4" t="s">
        <v>19</v>
      </c>
      <c r="G1425" s="7">
        <v>9754301770.37</v>
      </c>
    </row>
    <row ht="12.8" outlineLevel="0" r="1426">
      <c r="A1426" s="17">
        <v>43160</v>
      </c>
      <c r="B1426" s="4" t="s">
        <v>7</v>
      </c>
      <c r="C1426" s="4" t="s">
        <v>8</v>
      </c>
      <c r="D1426" s="4" t="s">
        <v>9</v>
      </c>
      <c r="E1426" s="4" t="s">
        <v>16</v>
      </c>
      <c r="F1426" s="4" t="s">
        <v>17</v>
      </c>
      <c r="G1426" s="7">
        <v>78713912100.9</v>
      </c>
    </row>
    <row ht="12.8" outlineLevel="0" r="1427">
      <c r="A1427" s="17">
        <v>43160</v>
      </c>
      <c r="B1427" s="4" t="s">
        <v>12</v>
      </c>
      <c r="C1427" s="4" t="s">
        <v>8</v>
      </c>
      <c r="D1427" s="4" t="s">
        <v>9</v>
      </c>
      <c r="E1427" s="4" t="s">
        <v>16</v>
      </c>
      <c r="F1427" s="4" t="s">
        <v>17</v>
      </c>
      <c r="G1427" s="7">
        <v>139386769837.32</v>
      </c>
    </row>
    <row ht="12.8" outlineLevel="0" r="1428">
      <c r="A1428" s="17">
        <v>43160</v>
      </c>
      <c r="B1428" s="4" t="s">
        <v>26</v>
      </c>
      <c r="C1428" s="4" t="s">
        <v>27</v>
      </c>
      <c r="D1428" s="4" t="s">
        <v>28</v>
      </c>
      <c r="E1428" s="4" t="s">
        <v>16</v>
      </c>
      <c r="F1428" s="4" t="s">
        <v>17</v>
      </c>
      <c r="G1428" s="7">
        <v>76892918904.4291</v>
      </c>
    </row>
    <row ht="12.8" outlineLevel="0" r="1429">
      <c r="A1429" s="17">
        <v>43160</v>
      </c>
      <c r="B1429" s="4" t="s">
        <v>29</v>
      </c>
      <c r="C1429" s="4" t="s">
        <v>30</v>
      </c>
      <c r="D1429" s="4" t="s">
        <v>31</v>
      </c>
      <c r="E1429" s="4" t="s">
        <v>16</v>
      </c>
      <c r="F1429" s="4" t="s">
        <v>17</v>
      </c>
      <c r="G1429" s="7">
        <v>97118882146.09</v>
      </c>
    </row>
    <row ht="12.8" outlineLevel="0" r="1430">
      <c r="A1430" s="17">
        <v>43160</v>
      </c>
      <c r="B1430" s="4" t="s">
        <v>13</v>
      </c>
      <c r="C1430" s="4" t="s">
        <v>8</v>
      </c>
      <c r="D1430" s="4" t="s">
        <v>9</v>
      </c>
      <c r="E1430" s="4" t="s">
        <v>16</v>
      </c>
      <c r="F1430" s="4" t="s">
        <v>17</v>
      </c>
      <c r="G1430" s="7">
        <v>56007900901.557</v>
      </c>
    </row>
    <row ht="12.8" outlineLevel="0" r="1431">
      <c r="A1431" s="17">
        <v>43160</v>
      </c>
      <c r="B1431" s="4" t="s">
        <v>22</v>
      </c>
      <c r="C1431" s="4" t="s">
        <v>23</v>
      </c>
      <c r="D1431" s="4" t="s">
        <v>24</v>
      </c>
      <c r="E1431" s="4" t="s">
        <v>16</v>
      </c>
      <c r="F1431" s="4" t="s">
        <v>17</v>
      </c>
      <c r="G1431" s="7">
        <v>76855465555.81</v>
      </c>
    </row>
    <row ht="12.8" outlineLevel="0" r="1432">
      <c r="A1432" s="17">
        <v>43160</v>
      </c>
      <c r="B1432" s="4" t="s">
        <v>25</v>
      </c>
      <c r="C1432" s="4" t="s">
        <v>23</v>
      </c>
      <c r="D1432" s="4" t="s">
        <v>24</v>
      </c>
      <c r="E1432" s="4" t="s">
        <v>16</v>
      </c>
      <c r="F1432" s="4" t="s">
        <v>17</v>
      </c>
      <c r="G1432" s="7">
        <v>175036961187.25</v>
      </c>
    </row>
    <row ht="12.8" outlineLevel="0" r="1433">
      <c r="A1433" s="17">
        <v>43160</v>
      </c>
      <c r="B1433" s="4" t="s">
        <v>32</v>
      </c>
      <c r="C1433" s="4" t="s">
        <v>33</v>
      </c>
      <c r="D1433" s="4" t="s">
        <v>34</v>
      </c>
      <c r="E1433" s="4" t="s">
        <v>16</v>
      </c>
      <c r="F1433" s="4" t="s">
        <v>17</v>
      </c>
      <c r="G1433" s="7">
        <v>477551816.3814</v>
      </c>
    </row>
    <row ht="12.8" outlineLevel="0" r="1434">
      <c r="A1434" s="17">
        <v>43160</v>
      </c>
      <c r="B1434" s="4" t="s">
        <v>35</v>
      </c>
      <c r="C1434" s="4" t="s">
        <v>36</v>
      </c>
      <c r="D1434" s="4" t="s">
        <v>37</v>
      </c>
      <c r="E1434" s="4" t="s">
        <v>16</v>
      </c>
      <c r="F1434" s="4" t="s">
        <v>17</v>
      </c>
      <c r="G1434" s="7">
        <v>9794464716.01</v>
      </c>
    </row>
    <row ht="12.8" outlineLevel="0" r="1435">
      <c r="A1435" s="17">
        <v>43132</v>
      </c>
      <c r="B1435" s="4" t="s">
        <v>29</v>
      </c>
      <c r="C1435" s="4" t="s">
        <v>30</v>
      </c>
      <c r="D1435" s="4" t="s">
        <v>31</v>
      </c>
      <c r="E1435" s="4" t="s">
        <v>14</v>
      </c>
      <c r="F1435" s="4" t="s">
        <v>15</v>
      </c>
      <c r="G1435" s="7">
        <v>105757695810.85</v>
      </c>
    </row>
    <row ht="12.8" outlineLevel="0" r="1436">
      <c r="A1436" s="17">
        <v>43132</v>
      </c>
      <c r="B1436" s="4" t="s">
        <v>7</v>
      </c>
      <c r="C1436" s="4" t="s">
        <v>8</v>
      </c>
      <c r="D1436" s="4" t="s">
        <v>9</v>
      </c>
      <c r="E1436" s="4" t="s">
        <v>14</v>
      </c>
      <c r="F1436" s="4" t="s">
        <v>15</v>
      </c>
      <c r="G1436" s="7">
        <v>259739419439.21</v>
      </c>
    </row>
    <row ht="12.8" outlineLevel="0" r="1437">
      <c r="A1437" s="17">
        <v>43132</v>
      </c>
      <c r="B1437" s="4" t="s">
        <v>38</v>
      </c>
      <c r="C1437" s="4" t="s">
        <v>39</v>
      </c>
      <c r="D1437" s="4" t="s">
        <v>40</v>
      </c>
      <c r="E1437" s="4" t="s">
        <v>10</v>
      </c>
      <c r="F1437" s="4" t="s">
        <v>11</v>
      </c>
      <c r="G1437" s="7">
        <v>25880804713</v>
      </c>
    </row>
    <row ht="12.8" outlineLevel="0" r="1438">
      <c r="A1438" s="17">
        <v>43132</v>
      </c>
      <c r="B1438" s="4" t="s">
        <v>26</v>
      </c>
      <c r="C1438" s="4" t="s">
        <v>27</v>
      </c>
      <c r="D1438" s="4" t="s">
        <v>28</v>
      </c>
      <c r="E1438" s="4" t="s">
        <v>14</v>
      </c>
      <c r="F1438" s="4" t="s">
        <v>15</v>
      </c>
      <c r="G1438" s="7">
        <v>203454232663.479</v>
      </c>
    </row>
    <row ht="12.8" outlineLevel="0" r="1439">
      <c r="A1439" s="17">
        <v>43132</v>
      </c>
      <c r="B1439" s="4" t="s">
        <v>12</v>
      </c>
      <c r="C1439" s="4" t="s">
        <v>8</v>
      </c>
      <c r="D1439" s="4" t="s">
        <v>9</v>
      </c>
      <c r="E1439" s="4" t="s">
        <v>14</v>
      </c>
      <c r="F1439" s="4" t="s">
        <v>15</v>
      </c>
      <c r="G1439" s="7">
        <v>477978648022.94</v>
      </c>
    </row>
    <row ht="12.8" outlineLevel="0" r="1440">
      <c r="A1440" s="17">
        <v>43132</v>
      </c>
      <c r="B1440" s="4" t="s">
        <v>35</v>
      </c>
      <c r="C1440" s="4" t="s">
        <v>36</v>
      </c>
      <c r="D1440" s="4" t="s">
        <v>37</v>
      </c>
      <c r="E1440" s="4" t="s">
        <v>14</v>
      </c>
      <c r="F1440" s="4" t="s">
        <v>15</v>
      </c>
      <c r="G1440" s="7">
        <v>36894265808.74</v>
      </c>
    </row>
    <row ht="12.8" outlineLevel="0" r="1441">
      <c r="A1441" s="17">
        <v>43132</v>
      </c>
      <c r="B1441" s="4" t="s">
        <v>22</v>
      </c>
      <c r="C1441" s="4" t="s">
        <v>23</v>
      </c>
      <c r="D1441" s="4" t="s">
        <v>24</v>
      </c>
      <c r="E1441" s="4" t="s">
        <v>14</v>
      </c>
      <c r="F1441" s="4" t="s">
        <v>15</v>
      </c>
      <c r="G1441" s="7">
        <v>72762414357.64</v>
      </c>
    </row>
    <row ht="12.8" outlineLevel="0" r="1442">
      <c r="A1442" s="17">
        <v>43132</v>
      </c>
      <c r="B1442" s="4" t="s">
        <v>13</v>
      </c>
      <c r="C1442" s="4" t="s">
        <v>8</v>
      </c>
      <c r="D1442" s="4" t="s">
        <v>9</v>
      </c>
      <c r="E1442" s="4" t="s">
        <v>14</v>
      </c>
      <c r="F1442" s="4" t="s">
        <v>15</v>
      </c>
      <c r="G1442" s="7">
        <v>176243592047.804</v>
      </c>
    </row>
    <row ht="12.8" outlineLevel="0" r="1443">
      <c r="A1443" s="17">
        <v>43132</v>
      </c>
      <c r="B1443" s="4" t="s">
        <v>32</v>
      </c>
      <c r="C1443" s="4" t="s">
        <v>33</v>
      </c>
      <c r="D1443" s="4" t="s">
        <v>34</v>
      </c>
      <c r="E1443" s="4" t="s">
        <v>14</v>
      </c>
      <c r="F1443" s="4" t="s">
        <v>15</v>
      </c>
      <c r="G1443" s="7">
        <v>3511426537.8683</v>
      </c>
    </row>
    <row ht="12.8" outlineLevel="0" r="1444">
      <c r="A1444" s="17">
        <v>43132</v>
      </c>
      <c r="B1444" s="4" t="s">
        <v>7</v>
      </c>
      <c r="C1444" s="4" t="s">
        <v>8</v>
      </c>
      <c r="D1444" s="4" t="s">
        <v>9</v>
      </c>
      <c r="E1444" s="4" t="s">
        <v>10</v>
      </c>
      <c r="F1444" s="4" t="s">
        <v>11</v>
      </c>
      <c r="G1444" s="7">
        <v>334481346569.81</v>
      </c>
    </row>
    <row ht="12.8" outlineLevel="0" r="1445">
      <c r="A1445" s="17">
        <v>43132</v>
      </c>
      <c r="B1445" s="4" t="s">
        <v>12</v>
      </c>
      <c r="C1445" s="4" t="s">
        <v>8</v>
      </c>
      <c r="D1445" s="4" t="s">
        <v>9</v>
      </c>
      <c r="E1445" s="4" t="s">
        <v>10</v>
      </c>
      <c r="F1445" s="4" t="s">
        <v>11</v>
      </c>
      <c r="G1445" s="7">
        <v>595768399679</v>
      </c>
    </row>
    <row ht="12.8" outlineLevel="0" r="1446">
      <c r="A1446" s="17">
        <v>43132</v>
      </c>
      <c r="B1446" s="4" t="s">
        <v>26</v>
      </c>
      <c r="C1446" s="4" t="s">
        <v>27</v>
      </c>
      <c r="D1446" s="4" t="s">
        <v>28</v>
      </c>
      <c r="E1446" s="4" t="s">
        <v>10</v>
      </c>
      <c r="F1446" s="4" t="s">
        <v>11</v>
      </c>
      <c r="G1446" s="7">
        <v>322777100128</v>
      </c>
    </row>
    <row ht="12.8" outlineLevel="0" r="1447">
      <c r="A1447" s="17">
        <v>43132</v>
      </c>
      <c r="B1447" s="4" t="s">
        <v>29</v>
      </c>
      <c r="C1447" s="4" t="s">
        <v>30</v>
      </c>
      <c r="D1447" s="4" t="s">
        <v>31</v>
      </c>
      <c r="E1447" s="4" t="s">
        <v>10</v>
      </c>
      <c r="F1447" s="4" t="s">
        <v>11</v>
      </c>
      <c r="G1447" s="7">
        <v>366241343760</v>
      </c>
    </row>
    <row ht="12.8" outlineLevel="0" r="1448">
      <c r="A1448" s="17">
        <v>43132</v>
      </c>
      <c r="B1448" s="4" t="s">
        <v>13</v>
      </c>
      <c r="C1448" s="4" t="s">
        <v>8</v>
      </c>
      <c r="D1448" s="4" t="s">
        <v>9</v>
      </c>
      <c r="E1448" s="4" t="s">
        <v>10</v>
      </c>
      <c r="F1448" s="4" t="s">
        <v>11</v>
      </c>
      <c r="G1448" s="7">
        <v>320981612700.09</v>
      </c>
    </row>
    <row ht="12.8" outlineLevel="0" r="1449">
      <c r="A1449" s="17">
        <v>43132</v>
      </c>
      <c r="B1449" s="4" t="s">
        <v>22</v>
      </c>
      <c r="C1449" s="4" t="s">
        <v>23</v>
      </c>
      <c r="D1449" s="4" t="s">
        <v>24</v>
      </c>
      <c r="E1449" s="4" t="s">
        <v>10</v>
      </c>
      <c r="F1449" s="4" t="s">
        <v>11</v>
      </c>
      <c r="G1449" s="7">
        <v>306031993012</v>
      </c>
    </row>
    <row ht="12.8" outlineLevel="0" r="1450">
      <c r="A1450" s="17">
        <v>43132</v>
      </c>
      <c r="B1450" s="4" t="s">
        <v>25</v>
      </c>
      <c r="C1450" s="4" t="s">
        <v>23</v>
      </c>
      <c r="D1450" s="4" t="s">
        <v>24</v>
      </c>
      <c r="E1450" s="4" t="s">
        <v>10</v>
      </c>
      <c r="F1450" s="4" t="s">
        <v>11</v>
      </c>
      <c r="G1450" s="7">
        <v>1106553935431</v>
      </c>
    </row>
    <row ht="12.8" outlineLevel="0" r="1451">
      <c r="A1451" s="17">
        <v>43132</v>
      </c>
      <c r="B1451" s="4" t="s">
        <v>32</v>
      </c>
      <c r="C1451" s="4" t="s">
        <v>33</v>
      </c>
      <c r="D1451" s="4" t="s">
        <v>34</v>
      </c>
      <c r="E1451" s="4" t="s">
        <v>10</v>
      </c>
      <c r="F1451" s="4" t="s">
        <v>11</v>
      </c>
      <c r="G1451" s="7">
        <v>43789680762</v>
      </c>
    </row>
    <row ht="12.8" outlineLevel="0" r="1452">
      <c r="A1452" s="17">
        <v>43132</v>
      </c>
      <c r="B1452" s="4" t="s">
        <v>35</v>
      </c>
      <c r="C1452" s="4" t="s">
        <v>36</v>
      </c>
      <c r="D1452" s="4" t="s">
        <v>37</v>
      </c>
      <c r="E1452" s="4" t="s">
        <v>10</v>
      </c>
      <c r="F1452" s="4" t="s">
        <v>11</v>
      </c>
      <c r="G1452" s="7">
        <v>82420475023</v>
      </c>
    </row>
    <row ht="12.8" outlineLevel="0" r="1453">
      <c r="A1453" s="17">
        <v>43132</v>
      </c>
      <c r="B1453" s="4" t="s">
        <v>25</v>
      </c>
      <c r="C1453" s="4" t="s">
        <v>23</v>
      </c>
      <c r="D1453" s="4" t="s">
        <v>24</v>
      </c>
      <c r="E1453" s="4" t="s">
        <v>14</v>
      </c>
      <c r="F1453" s="4" t="s">
        <v>15</v>
      </c>
      <c r="G1453" s="7">
        <v>549182382514.18</v>
      </c>
    </row>
    <row ht="12.8" outlineLevel="0" r="1454">
      <c r="A1454" s="17">
        <v>43132</v>
      </c>
      <c r="B1454" s="4" t="s">
        <v>7</v>
      </c>
      <c r="C1454" s="4" t="s">
        <v>8</v>
      </c>
      <c r="D1454" s="4" t="s">
        <v>9</v>
      </c>
      <c r="E1454" s="4" t="s">
        <v>18</v>
      </c>
      <c r="F1454" s="4" t="s">
        <v>19</v>
      </c>
      <c r="G1454" s="7">
        <v>52663276916.69</v>
      </c>
    </row>
    <row ht="12.8" outlineLevel="0" r="1455">
      <c r="A1455" s="17">
        <v>43132</v>
      </c>
      <c r="B1455" s="4" t="s">
        <v>12</v>
      </c>
      <c r="C1455" s="4" t="s">
        <v>8</v>
      </c>
      <c r="D1455" s="4" t="s">
        <v>9</v>
      </c>
      <c r="E1455" s="4" t="s">
        <v>18</v>
      </c>
      <c r="F1455" s="4" t="s">
        <v>19</v>
      </c>
      <c r="G1455" s="7">
        <v>70360867417.67</v>
      </c>
    </row>
    <row ht="12.8" outlineLevel="0" r="1456">
      <c r="A1456" s="17">
        <v>43132</v>
      </c>
      <c r="B1456" s="4" t="s">
        <v>26</v>
      </c>
      <c r="C1456" s="4" t="s">
        <v>27</v>
      </c>
      <c r="D1456" s="4" t="s">
        <v>28</v>
      </c>
      <c r="E1456" s="4" t="s">
        <v>18</v>
      </c>
      <c r="F1456" s="4" t="s">
        <v>19</v>
      </c>
      <c r="G1456" s="7">
        <v>47849446342.7367</v>
      </c>
    </row>
    <row ht="12.8" outlineLevel="0" r="1457">
      <c r="A1457" s="17">
        <v>43132</v>
      </c>
      <c r="B1457" s="4" t="s">
        <v>29</v>
      </c>
      <c r="C1457" s="4" t="s">
        <v>30</v>
      </c>
      <c r="D1457" s="4" t="s">
        <v>31</v>
      </c>
      <c r="E1457" s="4" t="s">
        <v>18</v>
      </c>
      <c r="F1457" s="4" t="s">
        <v>19</v>
      </c>
      <c r="G1457" s="7">
        <v>83453093731.95</v>
      </c>
    </row>
    <row ht="12.8" outlineLevel="0" r="1458">
      <c r="A1458" s="17">
        <v>43132</v>
      </c>
      <c r="B1458" s="4" t="s">
        <v>13</v>
      </c>
      <c r="C1458" s="4" t="s">
        <v>8</v>
      </c>
      <c r="D1458" s="4" t="s">
        <v>9</v>
      </c>
      <c r="E1458" s="4" t="s">
        <v>18</v>
      </c>
      <c r="F1458" s="4" t="s">
        <v>19</v>
      </c>
      <c r="G1458" s="7">
        <v>31790860733.6332</v>
      </c>
    </row>
    <row ht="12.8" outlineLevel="0" r="1459">
      <c r="A1459" s="17">
        <v>43132</v>
      </c>
      <c r="B1459" s="4" t="s">
        <v>22</v>
      </c>
      <c r="C1459" s="4" t="s">
        <v>23</v>
      </c>
      <c r="D1459" s="4" t="s">
        <v>24</v>
      </c>
      <c r="E1459" s="4" t="s">
        <v>18</v>
      </c>
      <c r="F1459" s="4" t="s">
        <v>19</v>
      </c>
      <c r="G1459" s="7">
        <v>71508502400.44</v>
      </c>
    </row>
    <row ht="12.8" outlineLevel="0" r="1460">
      <c r="A1460" s="17">
        <v>43132</v>
      </c>
      <c r="B1460" s="4" t="s">
        <v>25</v>
      </c>
      <c r="C1460" s="4" t="s">
        <v>23</v>
      </c>
      <c r="D1460" s="4" t="s">
        <v>24</v>
      </c>
      <c r="E1460" s="4" t="s">
        <v>18</v>
      </c>
      <c r="F1460" s="4" t="s">
        <v>19</v>
      </c>
      <c r="G1460" s="7">
        <v>139906687395.64</v>
      </c>
    </row>
    <row ht="12.8" outlineLevel="0" r="1461">
      <c r="A1461" s="17">
        <v>43132</v>
      </c>
      <c r="B1461" s="4" t="s">
        <v>32</v>
      </c>
      <c r="C1461" s="4" t="s">
        <v>33</v>
      </c>
      <c r="D1461" s="4" t="s">
        <v>34</v>
      </c>
      <c r="E1461" s="4" t="s">
        <v>18</v>
      </c>
      <c r="F1461" s="4" t="s">
        <v>19</v>
      </c>
      <c r="G1461" s="7">
        <v>29419334.7241</v>
      </c>
    </row>
    <row ht="12.8" outlineLevel="0" r="1462">
      <c r="A1462" s="17">
        <v>43132</v>
      </c>
      <c r="B1462" s="4" t="s">
        <v>35</v>
      </c>
      <c r="C1462" s="4" t="s">
        <v>36</v>
      </c>
      <c r="D1462" s="4" t="s">
        <v>37</v>
      </c>
      <c r="E1462" s="4" t="s">
        <v>18</v>
      </c>
      <c r="F1462" s="4" t="s">
        <v>19</v>
      </c>
      <c r="G1462" s="7">
        <v>5174832434.48</v>
      </c>
    </row>
    <row ht="12.8" outlineLevel="0" r="1463">
      <c r="A1463" s="17">
        <v>43132</v>
      </c>
      <c r="B1463" s="4" t="s">
        <v>7</v>
      </c>
      <c r="C1463" s="4" t="s">
        <v>8</v>
      </c>
      <c r="D1463" s="4" t="s">
        <v>9</v>
      </c>
      <c r="E1463" s="4" t="s">
        <v>16</v>
      </c>
      <c r="F1463" s="4" t="s">
        <v>17</v>
      </c>
      <c r="G1463" s="7">
        <v>52664314686.96</v>
      </c>
    </row>
    <row ht="12.8" outlineLevel="0" r="1464">
      <c r="A1464" s="17">
        <v>43132</v>
      </c>
      <c r="B1464" s="4" t="s">
        <v>12</v>
      </c>
      <c r="C1464" s="4" t="s">
        <v>8</v>
      </c>
      <c r="D1464" s="4" t="s">
        <v>9</v>
      </c>
      <c r="E1464" s="4" t="s">
        <v>16</v>
      </c>
      <c r="F1464" s="4" t="s">
        <v>17</v>
      </c>
      <c r="G1464" s="7">
        <v>89660253600.66</v>
      </c>
    </row>
    <row ht="12.8" outlineLevel="0" r="1465">
      <c r="A1465" s="17">
        <v>43132</v>
      </c>
      <c r="B1465" s="4" t="s">
        <v>26</v>
      </c>
      <c r="C1465" s="4" t="s">
        <v>27</v>
      </c>
      <c r="D1465" s="4" t="s">
        <v>28</v>
      </c>
      <c r="E1465" s="4" t="s">
        <v>16</v>
      </c>
      <c r="F1465" s="4" t="s">
        <v>17</v>
      </c>
      <c r="G1465" s="7">
        <v>49434570076.2304</v>
      </c>
    </row>
    <row ht="12.8" outlineLevel="0" r="1466">
      <c r="A1466" s="17">
        <v>43132</v>
      </c>
      <c r="B1466" s="4" t="s">
        <v>29</v>
      </c>
      <c r="C1466" s="4" t="s">
        <v>30</v>
      </c>
      <c r="D1466" s="4" t="s">
        <v>31</v>
      </c>
      <c r="E1466" s="4" t="s">
        <v>16</v>
      </c>
      <c r="F1466" s="4" t="s">
        <v>17</v>
      </c>
      <c r="G1466" s="7">
        <v>83453093731.95</v>
      </c>
    </row>
    <row ht="12.8" outlineLevel="0" r="1467">
      <c r="A1467" s="17">
        <v>43132</v>
      </c>
      <c r="B1467" s="4" t="s">
        <v>13</v>
      </c>
      <c r="C1467" s="4" t="s">
        <v>8</v>
      </c>
      <c r="D1467" s="4" t="s">
        <v>9</v>
      </c>
      <c r="E1467" s="4" t="s">
        <v>16</v>
      </c>
      <c r="F1467" s="4" t="s">
        <v>17</v>
      </c>
      <c r="G1467" s="7">
        <v>33634201878.7666</v>
      </c>
    </row>
    <row ht="12.8" outlineLevel="0" r="1468">
      <c r="A1468" s="17">
        <v>43132</v>
      </c>
      <c r="B1468" s="4" t="s">
        <v>22</v>
      </c>
      <c r="C1468" s="4" t="s">
        <v>23</v>
      </c>
      <c r="D1468" s="4" t="s">
        <v>24</v>
      </c>
      <c r="E1468" s="4" t="s">
        <v>16</v>
      </c>
      <c r="F1468" s="4" t="s">
        <v>17</v>
      </c>
      <c r="G1468" s="7">
        <v>71508502400.44</v>
      </c>
    </row>
    <row ht="12.8" outlineLevel="0" r="1469">
      <c r="A1469" s="17">
        <v>43132</v>
      </c>
      <c r="B1469" s="4" t="s">
        <v>25</v>
      </c>
      <c r="C1469" s="4" t="s">
        <v>23</v>
      </c>
      <c r="D1469" s="4" t="s">
        <v>24</v>
      </c>
      <c r="E1469" s="4" t="s">
        <v>16</v>
      </c>
      <c r="F1469" s="4" t="s">
        <v>17</v>
      </c>
      <c r="G1469" s="7">
        <v>139906687395.64</v>
      </c>
    </row>
    <row ht="12.8" outlineLevel="0" r="1470">
      <c r="A1470" s="17">
        <v>43132</v>
      </c>
      <c r="B1470" s="4" t="s">
        <v>32</v>
      </c>
      <c r="C1470" s="4" t="s">
        <v>33</v>
      </c>
      <c r="D1470" s="4" t="s">
        <v>34</v>
      </c>
      <c r="E1470" s="4" t="s">
        <v>16</v>
      </c>
      <c r="F1470" s="4" t="s">
        <v>17</v>
      </c>
      <c r="G1470" s="7">
        <v>81600500.5741</v>
      </c>
    </row>
    <row ht="12.8" outlineLevel="0" r="1471">
      <c r="A1471" s="17">
        <v>43132</v>
      </c>
      <c r="B1471" s="4" t="s">
        <v>35</v>
      </c>
      <c r="C1471" s="4" t="s">
        <v>36</v>
      </c>
      <c r="D1471" s="4" t="s">
        <v>37</v>
      </c>
      <c r="E1471" s="4" t="s">
        <v>16</v>
      </c>
      <c r="F1471" s="4" t="s">
        <v>17</v>
      </c>
      <c r="G1471" s="7">
        <v>6620106617.41</v>
      </c>
    </row>
    <row ht="12.8" outlineLevel="0" r="1472">
      <c r="A1472" s="17">
        <v>43101</v>
      </c>
      <c r="B1472" s="4" t="s">
        <v>29</v>
      </c>
      <c r="C1472" s="4" t="s">
        <v>30</v>
      </c>
      <c r="D1472" s="4" t="s">
        <v>31</v>
      </c>
      <c r="E1472" s="4" t="s">
        <v>14</v>
      </c>
      <c r="F1472" s="4" t="s">
        <v>15</v>
      </c>
      <c r="G1472" s="7">
        <v>82045006492.82</v>
      </c>
    </row>
    <row ht="12.8" outlineLevel="0" r="1473">
      <c r="A1473" s="17">
        <v>43101</v>
      </c>
      <c r="B1473" s="4" t="s">
        <v>7</v>
      </c>
      <c r="C1473" s="4" t="s">
        <v>8</v>
      </c>
      <c r="D1473" s="4" t="s">
        <v>9</v>
      </c>
      <c r="E1473" s="4" t="s">
        <v>14</v>
      </c>
      <c r="F1473" s="4" t="s">
        <v>15</v>
      </c>
      <c r="G1473" s="7">
        <v>250195903583.56</v>
      </c>
    </row>
    <row ht="12.8" outlineLevel="0" r="1474">
      <c r="A1474" s="17">
        <v>43101</v>
      </c>
      <c r="B1474" s="4" t="s">
        <v>38</v>
      </c>
      <c r="C1474" s="4" t="s">
        <v>39</v>
      </c>
      <c r="D1474" s="4" t="s">
        <v>40</v>
      </c>
      <c r="E1474" s="4" t="s">
        <v>10</v>
      </c>
      <c r="F1474" s="4" t="s">
        <v>11</v>
      </c>
      <c r="G1474" s="7">
        <v>25880804713</v>
      </c>
    </row>
    <row ht="12.8" outlineLevel="0" r="1475">
      <c r="A1475" s="17">
        <v>43101</v>
      </c>
      <c r="B1475" s="4" t="s">
        <v>26</v>
      </c>
      <c r="C1475" s="4" t="s">
        <v>27</v>
      </c>
      <c r="D1475" s="4" t="s">
        <v>28</v>
      </c>
      <c r="E1475" s="4" t="s">
        <v>14</v>
      </c>
      <c r="F1475" s="4" t="s">
        <v>15</v>
      </c>
      <c r="G1475" s="7">
        <v>194393142798.744</v>
      </c>
    </row>
    <row ht="12.8" outlineLevel="0" r="1476">
      <c r="A1476" s="17">
        <v>43101</v>
      </c>
      <c r="B1476" s="4" t="s">
        <v>12</v>
      </c>
      <c r="C1476" s="4" t="s">
        <v>8</v>
      </c>
      <c r="D1476" s="4" t="s">
        <v>9</v>
      </c>
      <c r="E1476" s="4" t="s">
        <v>14</v>
      </c>
      <c r="F1476" s="4" t="s">
        <v>15</v>
      </c>
      <c r="G1476" s="7">
        <v>385863666639.74</v>
      </c>
    </row>
    <row ht="12.8" outlineLevel="0" r="1477">
      <c r="A1477" s="17">
        <v>43101</v>
      </c>
      <c r="B1477" s="4" t="s">
        <v>35</v>
      </c>
      <c r="C1477" s="4" t="s">
        <v>36</v>
      </c>
      <c r="D1477" s="4" t="s">
        <v>37</v>
      </c>
      <c r="E1477" s="4" t="s">
        <v>14</v>
      </c>
      <c r="F1477" s="4" t="s">
        <v>15</v>
      </c>
      <c r="G1477" s="7">
        <v>33001123166.66</v>
      </c>
    </row>
    <row ht="12.8" outlineLevel="0" r="1478">
      <c r="A1478" s="17">
        <v>43101</v>
      </c>
      <c r="B1478" s="4" t="s">
        <v>22</v>
      </c>
      <c r="C1478" s="4" t="s">
        <v>23</v>
      </c>
      <c r="D1478" s="4" t="s">
        <v>24</v>
      </c>
      <c r="E1478" s="4" t="s">
        <v>14</v>
      </c>
      <c r="F1478" s="4" t="s">
        <v>15</v>
      </c>
      <c r="G1478" s="7">
        <v>72754584944.64</v>
      </c>
    </row>
    <row ht="12.8" outlineLevel="0" r="1479">
      <c r="A1479" s="17">
        <v>43101</v>
      </c>
      <c r="B1479" s="4" t="s">
        <v>13</v>
      </c>
      <c r="C1479" s="4" t="s">
        <v>8</v>
      </c>
      <c r="D1479" s="4" t="s">
        <v>9</v>
      </c>
      <c r="E1479" s="4" t="s">
        <v>14</v>
      </c>
      <c r="F1479" s="4" t="s">
        <v>15</v>
      </c>
      <c r="G1479" s="7">
        <v>131018204299.351</v>
      </c>
    </row>
    <row ht="12.8" outlineLevel="0" r="1480">
      <c r="A1480" s="17">
        <v>43101</v>
      </c>
      <c r="B1480" s="4" t="s">
        <v>32</v>
      </c>
      <c r="C1480" s="4" t="s">
        <v>33</v>
      </c>
      <c r="D1480" s="4" t="s">
        <v>34</v>
      </c>
      <c r="E1480" s="4" t="s">
        <v>14</v>
      </c>
      <c r="F1480" s="4" t="s">
        <v>15</v>
      </c>
      <c r="G1480" s="7">
        <v>781798503.2601</v>
      </c>
    </row>
    <row ht="12.8" outlineLevel="0" r="1481">
      <c r="A1481" s="17">
        <v>43101</v>
      </c>
      <c r="B1481" s="4" t="s">
        <v>7</v>
      </c>
      <c r="C1481" s="4" t="s">
        <v>8</v>
      </c>
      <c r="D1481" s="4" t="s">
        <v>9</v>
      </c>
      <c r="E1481" s="4" t="s">
        <v>10</v>
      </c>
      <c r="F1481" s="4" t="s">
        <v>11</v>
      </c>
      <c r="G1481" s="7">
        <v>334636482136.5</v>
      </c>
    </row>
    <row ht="12.8" outlineLevel="0" r="1482">
      <c r="A1482" s="17">
        <v>43101</v>
      </c>
      <c r="B1482" s="4" t="s">
        <v>12</v>
      </c>
      <c r="C1482" s="4" t="s">
        <v>8</v>
      </c>
      <c r="D1482" s="4" t="s">
        <v>9</v>
      </c>
      <c r="E1482" s="4" t="s">
        <v>10</v>
      </c>
      <c r="F1482" s="4" t="s">
        <v>11</v>
      </c>
      <c r="G1482" s="7">
        <v>596268399679</v>
      </c>
    </row>
    <row ht="12.8" outlineLevel="0" r="1483">
      <c r="A1483" s="17">
        <v>43101</v>
      </c>
      <c r="B1483" s="4" t="s">
        <v>26</v>
      </c>
      <c r="C1483" s="4" t="s">
        <v>27</v>
      </c>
      <c r="D1483" s="4" t="s">
        <v>28</v>
      </c>
      <c r="E1483" s="4" t="s">
        <v>10</v>
      </c>
      <c r="F1483" s="4" t="s">
        <v>11</v>
      </c>
      <c r="G1483" s="7">
        <v>322777100128</v>
      </c>
    </row>
    <row ht="12.8" outlineLevel="0" r="1484">
      <c r="A1484" s="17">
        <v>43101</v>
      </c>
      <c r="B1484" s="4" t="s">
        <v>29</v>
      </c>
      <c r="C1484" s="4" t="s">
        <v>30</v>
      </c>
      <c r="D1484" s="4" t="s">
        <v>31</v>
      </c>
      <c r="E1484" s="4" t="s">
        <v>10</v>
      </c>
      <c r="F1484" s="4" t="s">
        <v>11</v>
      </c>
      <c r="G1484" s="7">
        <v>316241343760</v>
      </c>
    </row>
    <row ht="12.8" outlineLevel="0" r="1485">
      <c r="A1485" s="17">
        <v>43101</v>
      </c>
      <c r="B1485" s="4" t="s">
        <v>13</v>
      </c>
      <c r="C1485" s="4" t="s">
        <v>8</v>
      </c>
      <c r="D1485" s="4" t="s">
        <v>9</v>
      </c>
      <c r="E1485" s="4" t="s">
        <v>10</v>
      </c>
      <c r="F1485" s="4" t="s">
        <v>11</v>
      </c>
      <c r="G1485" s="7">
        <v>320086868266.41</v>
      </c>
    </row>
    <row ht="12.8" outlineLevel="0" r="1486">
      <c r="A1486" s="17">
        <v>43101</v>
      </c>
      <c r="B1486" s="4" t="s">
        <v>22</v>
      </c>
      <c r="C1486" s="4" t="s">
        <v>23</v>
      </c>
      <c r="D1486" s="4" t="s">
        <v>24</v>
      </c>
      <c r="E1486" s="4" t="s">
        <v>10</v>
      </c>
      <c r="F1486" s="4" t="s">
        <v>11</v>
      </c>
      <c r="G1486" s="7">
        <v>357042318596</v>
      </c>
    </row>
    <row ht="12.8" outlineLevel="0" r="1487">
      <c r="A1487" s="17">
        <v>43101</v>
      </c>
      <c r="B1487" s="4" t="s">
        <v>25</v>
      </c>
      <c r="C1487" s="4" t="s">
        <v>23</v>
      </c>
      <c r="D1487" s="4" t="s">
        <v>24</v>
      </c>
      <c r="E1487" s="4" t="s">
        <v>10</v>
      </c>
      <c r="F1487" s="4" t="s">
        <v>11</v>
      </c>
      <c r="G1487" s="7">
        <v>1105543609847</v>
      </c>
    </row>
    <row ht="12.8" outlineLevel="0" r="1488">
      <c r="A1488" s="17">
        <v>43101</v>
      </c>
      <c r="B1488" s="4" t="s">
        <v>32</v>
      </c>
      <c r="C1488" s="4" t="s">
        <v>33</v>
      </c>
      <c r="D1488" s="4" t="s">
        <v>34</v>
      </c>
      <c r="E1488" s="4" t="s">
        <v>10</v>
      </c>
      <c r="F1488" s="4" t="s">
        <v>11</v>
      </c>
      <c r="G1488" s="7">
        <v>44023680482</v>
      </c>
    </row>
    <row ht="12.8" outlineLevel="0" r="1489">
      <c r="A1489" s="17">
        <v>43101</v>
      </c>
      <c r="B1489" s="4" t="s">
        <v>35</v>
      </c>
      <c r="C1489" s="4" t="s">
        <v>36</v>
      </c>
      <c r="D1489" s="4" t="s">
        <v>37</v>
      </c>
      <c r="E1489" s="4" t="s">
        <v>10</v>
      </c>
      <c r="F1489" s="4" t="s">
        <v>11</v>
      </c>
      <c r="G1489" s="7">
        <v>82420475023</v>
      </c>
    </row>
    <row ht="12.8" outlineLevel="0" r="1490">
      <c r="A1490" s="17">
        <v>43101</v>
      </c>
      <c r="B1490" s="4" t="s">
        <v>25</v>
      </c>
      <c r="C1490" s="4" t="s">
        <v>23</v>
      </c>
      <c r="D1490" s="4" t="s">
        <v>24</v>
      </c>
      <c r="E1490" s="4" t="s">
        <v>14</v>
      </c>
      <c r="F1490" s="4" t="s">
        <v>15</v>
      </c>
      <c r="G1490" s="7">
        <v>159603237363.68</v>
      </c>
    </row>
    <row ht="12.8" outlineLevel="0" r="1491">
      <c r="A1491" s="17">
        <v>43101</v>
      </c>
      <c r="B1491" s="4" t="s">
        <v>7</v>
      </c>
      <c r="C1491" s="4" t="s">
        <v>8</v>
      </c>
      <c r="D1491" s="4" t="s">
        <v>9</v>
      </c>
      <c r="E1491" s="4" t="s">
        <v>18</v>
      </c>
      <c r="F1491" s="4" t="s">
        <v>19</v>
      </c>
      <c r="G1491" s="7">
        <v>18934171892.7</v>
      </c>
    </row>
    <row ht="12.8" outlineLevel="0" r="1492">
      <c r="A1492" s="17">
        <v>43101</v>
      </c>
      <c r="B1492" s="4" t="s">
        <v>12</v>
      </c>
      <c r="C1492" s="4" t="s">
        <v>8</v>
      </c>
      <c r="D1492" s="4" t="s">
        <v>9</v>
      </c>
      <c r="E1492" s="4" t="s">
        <v>18</v>
      </c>
      <c r="F1492" s="4" t="s">
        <v>19</v>
      </c>
      <c r="G1492" s="7">
        <v>26131350337.34</v>
      </c>
    </row>
    <row ht="12.8" outlineLevel="0" r="1493">
      <c r="A1493" s="17">
        <v>43101</v>
      </c>
      <c r="B1493" s="4" t="s">
        <v>26</v>
      </c>
      <c r="C1493" s="4" t="s">
        <v>27</v>
      </c>
      <c r="D1493" s="4" t="s">
        <v>28</v>
      </c>
      <c r="E1493" s="4" t="s">
        <v>18</v>
      </c>
      <c r="F1493" s="4" t="s">
        <v>19</v>
      </c>
      <c r="G1493" s="7">
        <v>24125756663.7419</v>
      </c>
    </row>
    <row ht="12.8" outlineLevel="0" r="1494">
      <c r="A1494" s="17">
        <v>43101</v>
      </c>
      <c r="B1494" s="4" t="s">
        <v>29</v>
      </c>
      <c r="C1494" s="4" t="s">
        <v>30</v>
      </c>
      <c r="D1494" s="4" t="s">
        <v>31</v>
      </c>
      <c r="E1494" s="4" t="s">
        <v>18</v>
      </c>
      <c r="F1494" s="4" t="s">
        <v>19</v>
      </c>
      <c r="G1494" s="7">
        <v>56320771189.63</v>
      </c>
    </row>
    <row ht="12.8" outlineLevel="0" r="1495">
      <c r="A1495" s="17">
        <v>43101</v>
      </c>
      <c r="B1495" s="4" t="s">
        <v>13</v>
      </c>
      <c r="C1495" s="4" t="s">
        <v>8</v>
      </c>
      <c r="D1495" s="4" t="s">
        <v>9</v>
      </c>
      <c r="E1495" s="4" t="s">
        <v>18</v>
      </c>
      <c r="F1495" s="4" t="s">
        <v>19</v>
      </c>
      <c r="G1495" s="7">
        <v>13561517676.2859</v>
      </c>
    </row>
    <row ht="12.8" outlineLevel="0" r="1496">
      <c r="A1496" s="17">
        <v>43101</v>
      </c>
      <c r="B1496" s="4" t="s">
        <v>22</v>
      </c>
      <c r="C1496" s="4" t="s">
        <v>23</v>
      </c>
      <c r="D1496" s="4" t="s">
        <v>24</v>
      </c>
      <c r="E1496" s="4" t="s">
        <v>18</v>
      </c>
      <c r="F1496" s="4" t="s">
        <v>19</v>
      </c>
      <c r="G1496" s="7">
        <v>71458870825.48</v>
      </c>
    </row>
    <row ht="12.8" outlineLevel="0" r="1497">
      <c r="A1497" s="17">
        <v>43101</v>
      </c>
      <c r="B1497" s="4" t="s">
        <v>25</v>
      </c>
      <c r="C1497" s="4" t="s">
        <v>23</v>
      </c>
      <c r="D1497" s="4" t="s">
        <v>24</v>
      </c>
      <c r="E1497" s="4" t="s">
        <v>18</v>
      </c>
      <c r="F1497" s="4" t="s">
        <v>19</v>
      </c>
      <c r="G1497" s="7">
        <v>138300037986.96</v>
      </c>
    </row>
    <row ht="12.8" outlineLevel="0" r="1498">
      <c r="A1498" s="17">
        <v>43101</v>
      </c>
      <c r="B1498" s="4" t="s">
        <v>32</v>
      </c>
      <c r="C1498" s="4" t="s">
        <v>33</v>
      </c>
      <c r="D1498" s="4" t="s">
        <v>34</v>
      </c>
      <c r="E1498" s="4" t="s">
        <v>18</v>
      </c>
      <c r="F1498" s="4" t="s">
        <v>19</v>
      </c>
      <c r="G1498" s="7">
        <v>2366175.8856</v>
      </c>
    </row>
    <row ht="12.8" outlineLevel="0" r="1499">
      <c r="A1499" s="17">
        <v>43101</v>
      </c>
      <c r="B1499" s="4" t="s">
        <v>35</v>
      </c>
      <c r="C1499" s="4" t="s">
        <v>36</v>
      </c>
      <c r="D1499" s="4" t="s">
        <v>37</v>
      </c>
      <c r="E1499" s="4" t="s">
        <v>18</v>
      </c>
      <c r="F1499" s="4" t="s">
        <v>19</v>
      </c>
      <c r="G1499" s="7">
        <v>2262669355.05</v>
      </c>
    </row>
    <row ht="12.8" outlineLevel="0" r="1500">
      <c r="A1500" s="17">
        <v>43101</v>
      </c>
      <c r="B1500" s="4" t="s">
        <v>7</v>
      </c>
      <c r="C1500" s="4" t="s">
        <v>8</v>
      </c>
      <c r="D1500" s="4" t="s">
        <v>9</v>
      </c>
      <c r="E1500" s="4" t="s">
        <v>16</v>
      </c>
      <c r="F1500" s="4" t="s">
        <v>17</v>
      </c>
      <c r="G1500" s="7">
        <v>18936658503.32</v>
      </c>
    </row>
    <row ht="12.8" outlineLevel="0" r="1501">
      <c r="A1501" s="17">
        <v>43101</v>
      </c>
      <c r="B1501" s="4" t="s">
        <v>12</v>
      </c>
      <c r="C1501" s="4" t="s">
        <v>8</v>
      </c>
      <c r="D1501" s="4" t="s">
        <v>9</v>
      </c>
      <c r="E1501" s="4" t="s">
        <v>16</v>
      </c>
      <c r="F1501" s="4" t="s">
        <v>17</v>
      </c>
      <c r="G1501" s="7">
        <v>45507221951.02</v>
      </c>
    </row>
    <row ht="12.8" outlineLevel="0" r="1502">
      <c r="A1502" s="17">
        <v>43101</v>
      </c>
      <c r="B1502" s="4" t="s">
        <v>26</v>
      </c>
      <c r="C1502" s="4" t="s">
        <v>27</v>
      </c>
      <c r="D1502" s="4" t="s">
        <v>28</v>
      </c>
      <c r="E1502" s="4" t="s">
        <v>16</v>
      </c>
      <c r="F1502" s="4" t="s">
        <v>17</v>
      </c>
      <c r="G1502" s="7">
        <v>25901796271.1719</v>
      </c>
    </row>
    <row ht="12.8" outlineLevel="0" r="1503">
      <c r="A1503" s="17">
        <v>43101</v>
      </c>
      <c r="B1503" s="4" t="s">
        <v>29</v>
      </c>
      <c r="C1503" s="4" t="s">
        <v>30</v>
      </c>
      <c r="D1503" s="4" t="s">
        <v>31</v>
      </c>
      <c r="E1503" s="4" t="s">
        <v>16</v>
      </c>
      <c r="F1503" s="4" t="s">
        <v>17</v>
      </c>
      <c r="G1503" s="7">
        <v>56320771189.63</v>
      </c>
    </row>
    <row ht="12.8" outlineLevel="0" r="1504">
      <c r="A1504" s="17">
        <v>43101</v>
      </c>
      <c r="B1504" s="4" t="s">
        <v>13</v>
      </c>
      <c r="C1504" s="4" t="s">
        <v>8</v>
      </c>
      <c r="D1504" s="4" t="s">
        <v>9</v>
      </c>
      <c r="E1504" s="4" t="s">
        <v>16</v>
      </c>
      <c r="F1504" s="4" t="s">
        <v>17</v>
      </c>
      <c r="G1504" s="7">
        <v>15038582767.5738</v>
      </c>
    </row>
    <row ht="12.8" outlineLevel="0" r="1505">
      <c r="A1505" s="17">
        <v>43101</v>
      </c>
      <c r="B1505" s="4" t="s">
        <v>22</v>
      </c>
      <c r="C1505" s="4" t="s">
        <v>23</v>
      </c>
      <c r="D1505" s="4" t="s">
        <v>24</v>
      </c>
      <c r="E1505" s="4" t="s">
        <v>16</v>
      </c>
      <c r="F1505" s="4" t="s">
        <v>17</v>
      </c>
      <c r="G1505" s="7">
        <v>71458870825.48</v>
      </c>
    </row>
    <row ht="12.8" outlineLevel="0" r="1506">
      <c r="A1506" s="17">
        <v>43101</v>
      </c>
      <c r="B1506" s="4" t="s">
        <v>25</v>
      </c>
      <c r="C1506" s="4" t="s">
        <v>23</v>
      </c>
      <c r="D1506" s="4" t="s">
        <v>24</v>
      </c>
      <c r="E1506" s="4" t="s">
        <v>16</v>
      </c>
      <c r="F1506" s="4" t="s">
        <v>17</v>
      </c>
      <c r="G1506" s="7">
        <v>138300037986.96</v>
      </c>
    </row>
    <row ht="12.8" outlineLevel="0" r="1507">
      <c r="A1507" s="17">
        <v>43101</v>
      </c>
      <c r="B1507" s="4" t="s">
        <v>32</v>
      </c>
      <c r="C1507" s="4" t="s">
        <v>33</v>
      </c>
      <c r="D1507" s="4" t="s">
        <v>34</v>
      </c>
      <c r="E1507" s="4" t="s">
        <v>16</v>
      </c>
      <c r="F1507" s="4" t="s">
        <v>17</v>
      </c>
      <c r="G1507" s="7">
        <v>23987735.1956</v>
      </c>
    </row>
    <row ht="12.8" outlineLevel="0" r="1508">
      <c r="A1508" s="17">
        <v>43101</v>
      </c>
      <c r="B1508" s="4" t="s">
        <v>35</v>
      </c>
      <c r="C1508" s="4" t="s">
        <v>36</v>
      </c>
      <c r="D1508" s="4" t="s">
        <v>37</v>
      </c>
      <c r="E1508" s="4" t="s">
        <v>16</v>
      </c>
      <c r="F1508" s="4" t="s">
        <v>17</v>
      </c>
      <c r="G1508" s="7">
        <v>2264416825.95</v>
      </c>
    </row>
  </sheetData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3"/>
  <cols>
    <col min="1" max="1" width="42.39" style="1" customWidth="1"/>
    <col min="2" max="2" width="21.46" style="1" customWidth="1"/>
    <col min="3" max="3" width="41.04" style="1" customWidth="1"/>
    <col min="4" max="4" width="17.01" style="1" customWidth="1"/>
    <col min="5" max="5" width="22.68" style="1" customWidth="1"/>
    <col min="6" max="6" width="41.71" style="1" customWidth="1"/>
    <col min="7" max="7" width="11.34" style="1" customWidth="1"/>
    <col min="8" max="8" width="25.92" style="1" customWidth="1"/>
    <col min="9" max="9" width="38.2" style="1" customWidth="1"/>
    <col min="10" max="10" width="36.31" style="1" customWidth="1"/>
    <col min="11" max="11" width="41.04" style="1" customWidth="1"/>
    <col min="12" max="12" width="23.49" style="1" customWidth="1"/>
    <col min="13" max="13" width="41.71" style="1" customWidth="1"/>
    <col min="14" max="14" width="25.92" style="1" customWidth="1"/>
    <col min="15" max="15" width="38.2" style="1" customWidth="1"/>
    <col min="16" max="16" width="36.31" style="1" customWidth="1"/>
    <col min="17" max="17" width="42.39" style="1" customWidth="1"/>
    <col min="18" max="18" width="21.46" style="1" customWidth="1"/>
    <col min="19" max="19" width="41.04" style="1" customWidth="1"/>
    <col min="20" max="20" width="17.01" style="1" customWidth="1"/>
    <col min="21" max="21" width="22.68" style="1" customWidth="1"/>
    <col min="22" max="22" width="41.71" style="1" customWidth="1"/>
    <col min="23" max="24" width="11.34" style="1" customWidth="1"/>
    <col min="25" max="25" width="36.31" style="1" customWidth="1"/>
    <col min="26" max="26" width="11.34" style="1" customWidth="1"/>
    <col min="27" max="1025" width="8.37" style="1" customWidth="1"/>
  </cols>
  <sheetData>
    <row ht="13.8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ht="13.8" outlineLevel="0" r="2">
      <c r="A2" s="1" t="s">
        <v>7</v>
      </c>
      <c r="B2" s="1" t="s">
        <v>8</v>
      </c>
      <c r="C2" s="1" t="s">
        <v>9</v>
      </c>
      <c r="D2" s="3">
        <v>44197</v>
      </c>
      <c r="E2" s="1" t="s">
        <v>16</v>
      </c>
      <c r="F2" s="1" t="s">
        <v>17</v>
      </c>
      <c r="G2" s="1">
        <v>17272401376.86</v>
      </c>
    </row>
    <row ht="13.8" outlineLevel="0" r="3">
      <c r="A3" s="1" t="s">
        <v>7</v>
      </c>
      <c r="B3" s="1" t="s">
        <v>8</v>
      </c>
      <c r="C3" s="1" t="s">
        <v>9</v>
      </c>
      <c r="D3" s="3">
        <v>44197</v>
      </c>
      <c r="E3" s="1" t="s">
        <v>14</v>
      </c>
      <c r="F3" s="1" t="s">
        <v>15</v>
      </c>
      <c r="G3" s="1">
        <v>241472425425.05</v>
      </c>
    </row>
    <row ht="13.8" outlineLevel="0" r="4">
      <c r="A4" s="1" t="s">
        <v>7</v>
      </c>
      <c r="B4" s="1" t="s">
        <v>8</v>
      </c>
      <c r="C4" s="1" t="s">
        <v>9</v>
      </c>
      <c r="D4" s="3">
        <v>44197</v>
      </c>
      <c r="E4" s="1" t="s">
        <v>10</v>
      </c>
      <c r="F4" s="1" t="s">
        <v>11</v>
      </c>
      <c r="G4" s="1">
        <v>357909240602.46</v>
      </c>
    </row>
    <row ht="13.8" outlineLevel="0" r="5">
      <c r="A5" s="1" t="s">
        <v>7</v>
      </c>
      <c r="B5" s="1" t="s">
        <v>8</v>
      </c>
      <c r="C5" s="1" t="s">
        <v>9</v>
      </c>
      <c r="D5" s="3">
        <v>44197</v>
      </c>
      <c r="E5" s="1" t="s">
        <v>18</v>
      </c>
      <c r="F5" s="1" t="s">
        <v>19</v>
      </c>
      <c r="G5" s="1">
        <v>17270363620.16</v>
      </c>
    </row>
    <row ht="13.8" outlineLevel="0" r="6">
      <c r="A6" s="1" t="s">
        <v>7</v>
      </c>
      <c r="B6" s="1" t="s">
        <v>8</v>
      </c>
      <c r="C6" s="1" t="s">
        <v>9</v>
      </c>
      <c r="D6" s="3">
        <v>44166</v>
      </c>
      <c r="E6" s="1" t="s">
        <v>20</v>
      </c>
      <c r="F6" s="1" t="s">
        <v>21</v>
      </c>
      <c r="G6" s="1">
        <v>40948259865.08</v>
      </c>
    </row>
    <row ht="13.8" outlineLevel="0" r="7">
      <c r="A7" s="1" t="s">
        <v>7</v>
      </c>
      <c r="B7" s="1" t="s">
        <v>8</v>
      </c>
      <c r="C7" s="1" t="s">
        <v>9</v>
      </c>
      <c r="D7" s="3">
        <v>44166</v>
      </c>
      <c r="E7" s="1" t="s">
        <v>16</v>
      </c>
      <c r="F7" s="1" t="s">
        <v>17</v>
      </c>
      <c r="G7" s="1">
        <v>461684308271.22</v>
      </c>
    </row>
    <row ht="13.8" outlineLevel="0" r="8">
      <c r="A8" s="1" t="s">
        <v>7</v>
      </c>
      <c r="B8" s="1" t="s">
        <v>8</v>
      </c>
      <c r="C8" s="1" t="s">
        <v>9</v>
      </c>
      <c r="D8" s="3">
        <v>44166</v>
      </c>
      <c r="E8" s="1" t="s">
        <v>10</v>
      </c>
      <c r="F8" s="1" t="s">
        <v>11</v>
      </c>
      <c r="G8" s="1">
        <v>505009978112.54</v>
      </c>
    </row>
    <row ht="13.8" outlineLevel="0" r="9">
      <c r="A9" s="1" t="s">
        <v>7</v>
      </c>
      <c r="B9" s="1" t="s">
        <v>8</v>
      </c>
      <c r="C9" s="1" t="s">
        <v>9</v>
      </c>
      <c r="D9" s="3">
        <v>44166</v>
      </c>
      <c r="E9" s="1" t="s">
        <v>14</v>
      </c>
      <c r="F9" s="1" t="s">
        <v>15</v>
      </c>
      <c r="G9" s="1">
        <v>502632568136.3</v>
      </c>
    </row>
    <row ht="13.8" outlineLevel="0" r="10">
      <c r="A10" s="1" t="s">
        <v>7</v>
      </c>
      <c r="B10" s="1" t="s">
        <v>8</v>
      </c>
      <c r="C10" s="1" t="s">
        <v>9</v>
      </c>
      <c r="D10" s="3">
        <v>44166</v>
      </c>
      <c r="E10" s="1" t="s">
        <v>18</v>
      </c>
      <c r="F10" s="1" t="s">
        <v>19</v>
      </c>
      <c r="G10" s="1">
        <v>460578464481.92</v>
      </c>
    </row>
    <row ht="13.8" outlineLevel="0" r="11">
      <c r="A11" s="1" t="s">
        <v>7</v>
      </c>
      <c r="B11" s="1" t="s">
        <v>8</v>
      </c>
      <c r="C11" s="1" t="s">
        <v>9</v>
      </c>
      <c r="D11" s="3">
        <v>44136</v>
      </c>
      <c r="E11" s="1" t="s">
        <v>18</v>
      </c>
      <c r="F11" s="1" t="s">
        <v>19</v>
      </c>
      <c r="G11" s="1">
        <v>415593477339.55</v>
      </c>
    </row>
    <row ht="13.8" outlineLevel="0" r="12">
      <c r="A12" s="1" t="s">
        <v>7</v>
      </c>
      <c r="B12" s="1" t="s">
        <v>8</v>
      </c>
      <c r="C12" s="1" t="s">
        <v>9</v>
      </c>
      <c r="D12" s="3">
        <v>44136</v>
      </c>
      <c r="E12" s="1" t="s">
        <v>10</v>
      </c>
      <c r="F12" s="1" t="s">
        <v>11</v>
      </c>
      <c r="G12" s="1">
        <v>499969944664.12</v>
      </c>
    </row>
    <row ht="13.8" outlineLevel="0" r="13">
      <c r="A13" s="1" t="s">
        <v>7</v>
      </c>
      <c r="B13" s="1" t="s">
        <v>8</v>
      </c>
      <c r="C13" s="1" t="s">
        <v>9</v>
      </c>
      <c r="D13" s="3">
        <v>44136</v>
      </c>
      <c r="E13" s="1" t="s">
        <v>16</v>
      </c>
      <c r="F13" s="1" t="s">
        <v>17</v>
      </c>
      <c r="G13" s="1">
        <v>415856186800.84</v>
      </c>
    </row>
    <row ht="13.8" outlineLevel="0" r="14">
      <c r="A14" s="1" t="s">
        <v>7</v>
      </c>
      <c r="B14" s="1" t="s">
        <v>8</v>
      </c>
      <c r="C14" s="1" t="s">
        <v>9</v>
      </c>
      <c r="D14" s="3">
        <v>44136</v>
      </c>
      <c r="E14" s="1" t="s">
        <v>14</v>
      </c>
      <c r="F14" s="1" t="s">
        <v>15</v>
      </c>
      <c r="G14" s="1">
        <v>478272554406.38</v>
      </c>
    </row>
    <row ht="13.8" outlineLevel="0" r="15">
      <c r="A15" s="1" t="s">
        <v>7</v>
      </c>
      <c r="B15" s="1" t="s">
        <v>8</v>
      </c>
      <c r="C15" s="1" t="s">
        <v>9</v>
      </c>
      <c r="D15" s="3">
        <v>44105</v>
      </c>
      <c r="E15" s="1" t="s">
        <v>18</v>
      </c>
      <c r="F15" s="1" t="s">
        <v>19</v>
      </c>
      <c r="G15" s="1">
        <v>380623403285.95</v>
      </c>
    </row>
    <row ht="13.8" outlineLevel="0" r="16">
      <c r="A16" s="1" t="s">
        <v>7</v>
      </c>
      <c r="B16" s="1" t="s">
        <v>8</v>
      </c>
      <c r="C16" s="1" t="s">
        <v>9</v>
      </c>
      <c r="D16" s="3">
        <v>44105</v>
      </c>
      <c r="E16" s="1" t="s">
        <v>16</v>
      </c>
      <c r="F16" s="1" t="s">
        <v>17</v>
      </c>
      <c r="G16" s="1">
        <v>380639805326.52</v>
      </c>
    </row>
    <row ht="13.8" outlineLevel="0" r="17">
      <c r="A17" s="1" t="s">
        <v>7</v>
      </c>
      <c r="B17" s="1" t="s">
        <v>8</v>
      </c>
      <c r="C17" s="1" t="s">
        <v>9</v>
      </c>
      <c r="D17" s="3">
        <v>44105</v>
      </c>
      <c r="E17" s="1" t="s">
        <v>14</v>
      </c>
      <c r="F17" s="1" t="s">
        <v>15</v>
      </c>
      <c r="G17" s="1">
        <v>466760525009.52</v>
      </c>
    </row>
    <row ht="13.8" outlineLevel="0" r="18">
      <c r="A18" s="1" t="s">
        <v>7</v>
      </c>
      <c r="B18" s="1" t="s">
        <v>8</v>
      </c>
      <c r="C18" s="1" t="s">
        <v>9</v>
      </c>
      <c r="D18" s="3">
        <v>44105</v>
      </c>
      <c r="E18" s="1" t="s">
        <v>10</v>
      </c>
      <c r="F18" s="1" t="s">
        <v>11</v>
      </c>
      <c r="G18" s="1">
        <v>499375098419.45</v>
      </c>
    </row>
    <row ht="13.8" outlineLevel="0" r="19">
      <c r="A19" s="1" t="s">
        <v>7</v>
      </c>
      <c r="B19" s="1" t="s">
        <v>8</v>
      </c>
      <c r="C19" s="1" t="s">
        <v>9</v>
      </c>
      <c r="D19" s="3">
        <v>44075</v>
      </c>
      <c r="E19" s="1" t="s">
        <v>18</v>
      </c>
      <c r="F19" s="1" t="s">
        <v>19</v>
      </c>
      <c r="G19" s="1">
        <v>348759535605.28</v>
      </c>
    </row>
    <row ht="13.8" outlineLevel="0" r="20">
      <c r="A20" s="1" t="s">
        <v>7</v>
      </c>
      <c r="B20" s="1" t="s">
        <v>8</v>
      </c>
      <c r="C20" s="1" t="s">
        <v>9</v>
      </c>
      <c r="D20" s="3">
        <v>44075</v>
      </c>
      <c r="E20" s="1" t="s">
        <v>16</v>
      </c>
      <c r="F20" s="1" t="s">
        <v>17</v>
      </c>
      <c r="G20" s="1">
        <v>348825336797.01</v>
      </c>
    </row>
    <row ht="13.8" outlineLevel="0" r="21">
      <c r="A21" s="1" t="s">
        <v>7</v>
      </c>
      <c r="B21" s="1" t="s">
        <v>8</v>
      </c>
      <c r="C21" s="1" t="s">
        <v>9</v>
      </c>
      <c r="D21" s="3">
        <v>44075</v>
      </c>
      <c r="E21" s="1" t="s">
        <v>14</v>
      </c>
      <c r="F21" s="1" t="s">
        <v>15</v>
      </c>
      <c r="G21" s="1">
        <v>459498718539.89</v>
      </c>
    </row>
    <row ht="13.8" outlineLevel="0" r="22">
      <c r="A22" s="1" t="s">
        <v>7</v>
      </c>
      <c r="B22" s="1" t="s">
        <v>8</v>
      </c>
      <c r="C22" s="1" t="s">
        <v>9</v>
      </c>
      <c r="D22" s="3">
        <v>44075</v>
      </c>
      <c r="E22" s="1" t="s">
        <v>10</v>
      </c>
      <c r="F22" s="1" t="s">
        <v>11</v>
      </c>
      <c r="G22" s="1">
        <v>499863331667.47</v>
      </c>
    </row>
    <row ht="13.8" outlineLevel="0" r="23">
      <c r="A23" s="1" t="s">
        <v>7</v>
      </c>
      <c r="B23" s="1" t="s">
        <v>8</v>
      </c>
      <c r="C23" s="1" t="s">
        <v>9</v>
      </c>
      <c r="D23" s="3">
        <v>44044</v>
      </c>
      <c r="E23" s="1" t="s">
        <v>10</v>
      </c>
      <c r="F23" s="1" t="s">
        <v>11</v>
      </c>
      <c r="G23" s="1">
        <v>499769589238.59</v>
      </c>
    </row>
    <row ht="13.8" outlineLevel="0" r="24">
      <c r="A24" s="1" t="s">
        <v>7</v>
      </c>
      <c r="B24" s="1" t="s">
        <v>8</v>
      </c>
      <c r="C24" s="1" t="s">
        <v>9</v>
      </c>
      <c r="D24" s="3">
        <v>44044</v>
      </c>
      <c r="E24" s="1" t="s">
        <v>14</v>
      </c>
      <c r="F24" s="1" t="s">
        <v>15</v>
      </c>
      <c r="G24" s="1">
        <v>448209549886.12</v>
      </c>
    </row>
    <row ht="13.8" outlineLevel="0" r="25">
      <c r="A25" s="1" t="s">
        <v>7</v>
      </c>
      <c r="B25" s="1" t="s">
        <v>8</v>
      </c>
      <c r="C25" s="1" t="s">
        <v>9</v>
      </c>
      <c r="D25" s="3">
        <v>44044</v>
      </c>
      <c r="E25" s="1" t="s">
        <v>16</v>
      </c>
      <c r="F25" s="1" t="s">
        <v>17</v>
      </c>
      <c r="G25" s="1">
        <v>304243540770.75</v>
      </c>
    </row>
    <row ht="13.8" outlineLevel="0" r="26">
      <c r="A26" s="1" t="s">
        <v>7</v>
      </c>
      <c r="B26" s="1" t="s">
        <v>8</v>
      </c>
      <c r="C26" s="1" t="s">
        <v>9</v>
      </c>
      <c r="D26" s="3">
        <v>44044</v>
      </c>
      <c r="E26" s="1" t="s">
        <v>18</v>
      </c>
      <c r="F26" s="1" t="s">
        <v>19</v>
      </c>
      <c r="G26" s="1">
        <v>304151421716.33</v>
      </c>
    </row>
    <row ht="13.8" outlineLevel="0" r="27">
      <c r="A27" s="1" t="s">
        <v>7</v>
      </c>
      <c r="B27" s="1" t="s">
        <v>8</v>
      </c>
      <c r="C27" s="1" t="s">
        <v>9</v>
      </c>
      <c r="D27" s="3">
        <v>44013</v>
      </c>
      <c r="E27" s="1" t="s">
        <v>10</v>
      </c>
      <c r="F27" s="1" t="s">
        <v>11</v>
      </c>
      <c r="G27" s="1">
        <v>499585310588.79</v>
      </c>
    </row>
    <row ht="13.8" outlineLevel="0" r="28">
      <c r="A28" s="1" t="s">
        <v>7</v>
      </c>
      <c r="B28" s="1" t="s">
        <v>8</v>
      </c>
      <c r="C28" s="1" t="s">
        <v>9</v>
      </c>
      <c r="D28" s="3">
        <v>44013</v>
      </c>
      <c r="E28" s="1" t="s">
        <v>16</v>
      </c>
      <c r="F28" s="1" t="s">
        <v>17</v>
      </c>
      <c r="G28" s="1">
        <v>252752756079.59</v>
      </c>
    </row>
    <row ht="13.8" outlineLevel="0" r="29">
      <c r="A29" s="1" t="s">
        <v>7</v>
      </c>
      <c r="B29" s="1" t="s">
        <v>8</v>
      </c>
      <c r="C29" s="1" t="s">
        <v>9</v>
      </c>
      <c r="D29" s="3">
        <v>44013</v>
      </c>
      <c r="E29" s="1" t="s">
        <v>14</v>
      </c>
      <c r="F29" s="1" t="s">
        <v>15</v>
      </c>
      <c r="G29" s="1">
        <v>433349598966.22</v>
      </c>
    </row>
    <row ht="13.8" outlineLevel="0" r="30">
      <c r="A30" s="1" t="s">
        <v>7</v>
      </c>
      <c r="B30" s="1" t="s">
        <v>8</v>
      </c>
      <c r="C30" s="1" t="s">
        <v>9</v>
      </c>
      <c r="D30" s="3">
        <v>44013</v>
      </c>
      <c r="E30" s="1" t="s">
        <v>18</v>
      </c>
      <c r="F30" s="1" t="s">
        <v>19</v>
      </c>
      <c r="G30" s="1">
        <v>252693584846.56</v>
      </c>
    </row>
    <row ht="13.8" outlineLevel="0" r="31">
      <c r="A31" s="1" t="s">
        <v>7</v>
      </c>
      <c r="B31" s="1" t="s">
        <v>8</v>
      </c>
      <c r="C31" s="1" t="s">
        <v>9</v>
      </c>
      <c r="D31" s="3">
        <v>43983</v>
      </c>
      <c r="E31" s="1" t="s">
        <v>10</v>
      </c>
      <c r="F31" s="1" t="s">
        <v>11</v>
      </c>
      <c r="G31" s="1">
        <v>492081578922.76</v>
      </c>
    </row>
    <row ht="13.8" outlineLevel="0" r="32">
      <c r="A32" s="1" t="s">
        <v>7</v>
      </c>
      <c r="B32" s="1" t="s">
        <v>8</v>
      </c>
      <c r="C32" s="1" t="s">
        <v>9</v>
      </c>
      <c r="D32" s="3">
        <v>43983</v>
      </c>
      <c r="E32" s="1" t="s">
        <v>16</v>
      </c>
      <c r="F32" s="1" t="s">
        <v>17</v>
      </c>
      <c r="G32" s="1">
        <v>200153702431.14</v>
      </c>
    </row>
    <row ht="13.8" outlineLevel="0" r="33">
      <c r="A33" s="1" t="s">
        <v>7</v>
      </c>
      <c r="B33" s="1" t="s">
        <v>8</v>
      </c>
      <c r="C33" s="1" t="s">
        <v>9</v>
      </c>
      <c r="D33" s="3">
        <v>43983</v>
      </c>
      <c r="E33" s="1" t="s">
        <v>14</v>
      </c>
      <c r="F33" s="1" t="s">
        <v>15</v>
      </c>
      <c r="G33" s="1">
        <v>410046244499.95</v>
      </c>
    </row>
    <row ht="13.8" outlineLevel="0" r="34">
      <c r="A34" s="1" t="s">
        <v>7</v>
      </c>
      <c r="B34" s="1" t="s">
        <v>8</v>
      </c>
      <c r="C34" s="1" t="s">
        <v>9</v>
      </c>
      <c r="D34" s="3">
        <v>43983</v>
      </c>
      <c r="E34" s="1" t="s">
        <v>18</v>
      </c>
      <c r="F34" s="1" t="s">
        <v>19</v>
      </c>
      <c r="G34" s="1">
        <v>199986815416.18</v>
      </c>
    </row>
    <row ht="13.8" outlineLevel="0" r="35">
      <c r="A35" s="1" t="s">
        <v>7</v>
      </c>
      <c r="B35" s="1" t="s">
        <v>8</v>
      </c>
      <c r="C35" s="1" t="s">
        <v>9</v>
      </c>
      <c r="D35" s="3">
        <v>43952</v>
      </c>
      <c r="E35" s="1" t="s">
        <v>14</v>
      </c>
      <c r="F35" s="1" t="s">
        <v>15</v>
      </c>
      <c r="G35" s="1">
        <v>341416150653.78</v>
      </c>
    </row>
    <row ht="13.8" outlineLevel="0" r="36">
      <c r="A36" s="1" t="s">
        <v>7</v>
      </c>
      <c r="B36" s="1" t="s">
        <v>8</v>
      </c>
      <c r="C36" s="1" t="s">
        <v>9</v>
      </c>
      <c r="D36" s="3">
        <v>43952</v>
      </c>
      <c r="E36" s="1" t="s">
        <v>18</v>
      </c>
      <c r="F36" s="1" t="s">
        <v>19</v>
      </c>
      <c r="G36" s="1">
        <v>154017314087.22</v>
      </c>
    </row>
    <row ht="13.8" outlineLevel="0" r="37">
      <c r="A37" s="1" t="s">
        <v>7</v>
      </c>
      <c r="B37" s="1" t="s">
        <v>8</v>
      </c>
      <c r="C37" s="1" t="s">
        <v>9</v>
      </c>
      <c r="D37" s="3">
        <v>43952</v>
      </c>
      <c r="E37" s="1" t="s">
        <v>16</v>
      </c>
      <c r="F37" s="1" t="s">
        <v>17</v>
      </c>
      <c r="G37" s="1">
        <v>154169388308.14</v>
      </c>
    </row>
    <row ht="13.8" outlineLevel="0" r="38">
      <c r="A38" s="1" t="s">
        <v>7</v>
      </c>
      <c r="B38" s="1" t="s">
        <v>8</v>
      </c>
      <c r="C38" s="1" t="s">
        <v>9</v>
      </c>
      <c r="D38" s="3">
        <v>43952</v>
      </c>
      <c r="E38" s="1" t="s">
        <v>10</v>
      </c>
      <c r="F38" s="1" t="s">
        <v>11</v>
      </c>
      <c r="G38" s="1">
        <v>427243162368.3</v>
      </c>
    </row>
    <row ht="13.8" outlineLevel="0" r="39">
      <c r="A39" s="1" t="s">
        <v>7</v>
      </c>
      <c r="B39" s="1" t="s">
        <v>8</v>
      </c>
      <c r="C39" s="1" t="s">
        <v>9</v>
      </c>
      <c r="D39" s="3">
        <v>43922</v>
      </c>
      <c r="E39" s="1" t="s">
        <v>18</v>
      </c>
      <c r="F39" s="1" t="s">
        <v>19</v>
      </c>
      <c r="G39" s="1">
        <v>120247058281.57</v>
      </c>
    </row>
    <row ht="13.8" outlineLevel="0" r="40">
      <c r="A40" s="1" t="s">
        <v>7</v>
      </c>
      <c r="B40" s="1" t="s">
        <v>8</v>
      </c>
      <c r="C40" s="1" t="s">
        <v>9</v>
      </c>
      <c r="D40" s="3">
        <v>43922</v>
      </c>
      <c r="E40" s="1" t="s">
        <v>10</v>
      </c>
      <c r="F40" s="1" t="s">
        <v>11</v>
      </c>
      <c r="G40" s="1">
        <v>414536771944.7</v>
      </c>
    </row>
    <row ht="13.8" outlineLevel="0" r="41">
      <c r="A41" s="1" t="s">
        <v>7</v>
      </c>
      <c r="B41" s="1" t="s">
        <v>8</v>
      </c>
      <c r="C41" s="1" t="s">
        <v>9</v>
      </c>
      <c r="D41" s="3">
        <v>43922</v>
      </c>
      <c r="E41" s="1" t="s">
        <v>16</v>
      </c>
      <c r="F41" s="1" t="s">
        <v>17</v>
      </c>
      <c r="G41" s="1">
        <v>120258639208.66</v>
      </c>
    </row>
    <row ht="13.8" outlineLevel="0" r="42">
      <c r="A42" s="1" t="s">
        <v>7</v>
      </c>
      <c r="B42" s="1" t="s">
        <v>8</v>
      </c>
      <c r="C42" s="1" t="s">
        <v>9</v>
      </c>
      <c r="D42" s="3">
        <v>43922</v>
      </c>
      <c r="E42" s="1" t="s">
        <v>14</v>
      </c>
      <c r="F42" s="1" t="s">
        <v>15</v>
      </c>
      <c r="G42" s="1">
        <v>326303170223.49</v>
      </c>
    </row>
    <row ht="13.8" outlineLevel="0" r="43">
      <c r="A43" s="1" t="s">
        <v>7</v>
      </c>
      <c r="B43" s="1" t="s">
        <v>8</v>
      </c>
      <c r="C43" s="1" t="s">
        <v>9</v>
      </c>
      <c r="D43" s="3">
        <v>43891</v>
      </c>
      <c r="E43" s="1" t="s">
        <v>16</v>
      </c>
      <c r="F43" s="1" t="s">
        <v>17</v>
      </c>
      <c r="G43" s="1">
        <v>89319776015.01</v>
      </c>
    </row>
    <row ht="13.8" outlineLevel="0" r="44">
      <c r="A44" s="1" t="s">
        <v>7</v>
      </c>
      <c r="B44" s="1" t="s">
        <v>8</v>
      </c>
      <c r="C44" s="1" t="s">
        <v>9</v>
      </c>
      <c r="D44" s="3">
        <v>43891</v>
      </c>
      <c r="E44" s="1" t="s">
        <v>18</v>
      </c>
      <c r="F44" s="1" t="s">
        <v>19</v>
      </c>
      <c r="G44" s="1">
        <v>85815071590.12</v>
      </c>
    </row>
    <row ht="13.8" outlineLevel="0" r="45">
      <c r="A45" s="1" t="s">
        <v>7</v>
      </c>
      <c r="B45" s="1" t="s">
        <v>8</v>
      </c>
      <c r="C45" s="1" t="s">
        <v>9</v>
      </c>
      <c r="D45" s="3">
        <v>43891</v>
      </c>
      <c r="E45" s="1" t="s">
        <v>14</v>
      </c>
      <c r="F45" s="1" t="s">
        <v>15</v>
      </c>
      <c r="G45" s="1">
        <v>295026660598.62</v>
      </c>
    </row>
    <row ht="13.8" outlineLevel="0" r="46">
      <c r="A46" s="1" t="s">
        <v>7</v>
      </c>
      <c r="B46" s="1" t="s">
        <v>8</v>
      </c>
      <c r="C46" s="1" t="s">
        <v>9</v>
      </c>
      <c r="D46" s="3">
        <v>43891</v>
      </c>
      <c r="E46" s="1" t="s">
        <v>10</v>
      </c>
      <c r="F46" s="1" t="s">
        <v>11</v>
      </c>
      <c r="G46" s="1">
        <v>390635539121.44</v>
      </c>
    </row>
    <row ht="13.8" outlineLevel="0" r="47">
      <c r="A47" s="1" t="s">
        <v>7</v>
      </c>
      <c r="B47" s="1" t="s">
        <v>8</v>
      </c>
      <c r="C47" s="1" t="s">
        <v>9</v>
      </c>
      <c r="D47" s="3">
        <v>43862</v>
      </c>
      <c r="E47" s="1" t="s">
        <v>18</v>
      </c>
      <c r="F47" s="1" t="s">
        <v>19</v>
      </c>
      <c r="G47" s="1">
        <v>57936497795.1</v>
      </c>
    </row>
    <row ht="13.8" outlineLevel="0" r="48">
      <c r="A48" s="1" t="s">
        <v>7</v>
      </c>
      <c r="B48" s="1" t="s">
        <v>8</v>
      </c>
      <c r="C48" s="1" t="s">
        <v>9</v>
      </c>
      <c r="D48" s="3">
        <v>43862</v>
      </c>
      <c r="E48" s="1" t="s">
        <v>10</v>
      </c>
      <c r="F48" s="1" t="s">
        <v>11</v>
      </c>
      <c r="G48" s="1">
        <v>385613619470.15</v>
      </c>
    </row>
    <row ht="13.8" outlineLevel="0" r="49">
      <c r="A49" s="1" t="s">
        <v>7</v>
      </c>
      <c r="B49" s="1" t="s">
        <v>8</v>
      </c>
      <c r="C49" s="1" t="s">
        <v>9</v>
      </c>
      <c r="D49" s="3">
        <v>43862</v>
      </c>
      <c r="E49" s="1" t="s">
        <v>14</v>
      </c>
      <c r="F49" s="1" t="s">
        <v>15</v>
      </c>
      <c r="G49" s="1">
        <v>279430161170.98</v>
      </c>
    </row>
    <row ht="13.8" outlineLevel="0" r="50">
      <c r="A50" s="1" t="s">
        <v>7</v>
      </c>
      <c r="B50" s="1" t="s">
        <v>8</v>
      </c>
      <c r="C50" s="1" t="s">
        <v>9</v>
      </c>
      <c r="D50" s="3">
        <v>43862</v>
      </c>
      <c r="E50" s="1" t="s">
        <v>16</v>
      </c>
      <c r="F50" s="1" t="s">
        <v>17</v>
      </c>
      <c r="G50" s="1">
        <v>58058899000.45</v>
      </c>
    </row>
    <row ht="13.8" outlineLevel="0" r="51">
      <c r="A51" s="1" t="s">
        <v>7</v>
      </c>
      <c r="B51" s="1" t="s">
        <v>8</v>
      </c>
      <c r="C51" s="1" t="s">
        <v>9</v>
      </c>
      <c r="D51" s="3">
        <v>43831</v>
      </c>
      <c r="E51" s="1" t="s">
        <v>14</v>
      </c>
      <c r="F51" s="1" t="s">
        <v>15</v>
      </c>
      <c r="G51" s="1">
        <v>250770518698.45</v>
      </c>
    </row>
    <row ht="13.8" outlineLevel="0" r="52">
      <c r="A52" s="1" t="s">
        <v>7</v>
      </c>
      <c r="B52" s="1" t="s">
        <v>8</v>
      </c>
      <c r="C52" s="1" t="s">
        <v>9</v>
      </c>
      <c r="D52" s="3">
        <v>43831</v>
      </c>
      <c r="E52" s="1" t="s">
        <v>10</v>
      </c>
      <c r="F52" s="1" t="s">
        <v>11</v>
      </c>
      <c r="G52" s="1">
        <v>385616635851.6</v>
      </c>
    </row>
    <row ht="13.8" outlineLevel="0" r="53">
      <c r="A53" s="1" t="s">
        <v>7</v>
      </c>
      <c r="B53" s="1" t="s">
        <v>8</v>
      </c>
      <c r="C53" s="1" t="s">
        <v>9</v>
      </c>
      <c r="D53" s="3">
        <v>43831</v>
      </c>
      <c r="E53" s="1" t="s">
        <v>18</v>
      </c>
      <c r="F53" s="1" t="s">
        <v>19</v>
      </c>
      <c r="G53" s="1">
        <v>18643157966.69</v>
      </c>
    </row>
    <row ht="13.8" outlineLevel="0" r="54">
      <c r="A54" s="1" t="s">
        <v>7</v>
      </c>
      <c r="B54" s="1" t="s">
        <v>8</v>
      </c>
      <c r="C54" s="1" t="s">
        <v>9</v>
      </c>
      <c r="D54" s="3">
        <v>43831</v>
      </c>
      <c r="E54" s="1" t="s">
        <v>16</v>
      </c>
      <c r="F54" s="1" t="s">
        <v>17</v>
      </c>
      <c r="G54" s="1">
        <v>18643266866.69</v>
      </c>
    </row>
    <row ht="13.8" outlineLevel="0" r="55">
      <c r="A55" s="1" t="s">
        <v>7</v>
      </c>
      <c r="B55" s="1" t="s">
        <v>8</v>
      </c>
      <c r="C55" s="1" t="s">
        <v>9</v>
      </c>
      <c r="D55" s="3">
        <v>43800</v>
      </c>
      <c r="E55" s="1" t="s">
        <v>16</v>
      </c>
      <c r="F55" s="1" t="s">
        <v>17</v>
      </c>
      <c r="G55" s="1">
        <v>376276408067.25</v>
      </c>
    </row>
    <row ht="13.8" outlineLevel="0" r="56">
      <c r="A56" s="1" t="s">
        <v>7</v>
      </c>
      <c r="B56" s="1" t="s">
        <v>8</v>
      </c>
      <c r="C56" s="1" t="s">
        <v>9</v>
      </c>
      <c r="D56" s="3">
        <v>43800</v>
      </c>
      <c r="E56" s="1" t="s">
        <v>20</v>
      </c>
      <c r="F56" s="1" t="s">
        <v>21</v>
      </c>
      <c r="G56" s="1">
        <v>14958836004.99</v>
      </c>
    </row>
    <row ht="13.8" outlineLevel="0" r="57">
      <c r="A57" s="1" t="s">
        <v>7</v>
      </c>
      <c r="B57" s="1" t="s">
        <v>8</v>
      </c>
      <c r="C57" s="1" t="s">
        <v>9</v>
      </c>
      <c r="D57" s="3">
        <v>43800</v>
      </c>
      <c r="E57" s="1" t="s">
        <v>18</v>
      </c>
      <c r="F57" s="1" t="s">
        <v>19</v>
      </c>
      <c r="G57" s="1">
        <v>375778451878.35</v>
      </c>
    </row>
    <row ht="13.8" outlineLevel="0" r="58">
      <c r="A58" s="1" t="s">
        <v>7</v>
      </c>
      <c r="B58" s="1" t="s">
        <v>8</v>
      </c>
      <c r="C58" s="1" t="s">
        <v>9</v>
      </c>
      <c r="D58" s="3">
        <v>43800</v>
      </c>
      <c r="E58" s="1" t="s">
        <v>10</v>
      </c>
      <c r="F58" s="1" t="s">
        <v>11</v>
      </c>
      <c r="G58" s="1">
        <v>393577664966.46</v>
      </c>
    </row>
    <row ht="13.8" outlineLevel="0" r="59">
      <c r="A59" s="1" t="s">
        <v>7</v>
      </c>
      <c r="B59" s="1" t="s">
        <v>8</v>
      </c>
      <c r="C59" s="1" t="s">
        <v>9</v>
      </c>
      <c r="D59" s="3">
        <v>43800</v>
      </c>
      <c r="E59" s="1" t="s">
        <v>14</v>
      </c>
      <c r="F59" s="1" t="s">
        <v>15</v>
      </c>
      <c r="G59" s="1">
        <v>391235244072.24</v>
      </c>
    </row>
    <row ht="13.8" outlineLevel="0" r="60">
      <c r="A60" s="1" t="s">
        <v>7</v>
      </c>
      <c r="B60" s="1" t="s">
        <v>8</v>
      </c>
      <c r="C60" s="1" t="s">
        <v>9</v>
      </c>
      <c r="D60" s="3">
        <v>43770</v>
      </c>
      <c r="E60" s="1" t="s">
        <v>18</v>
      </c>
      <c r="F60" s="1" t="s">
        <v>19</v>
      </c>
      <c r="G60" s="1">
        <v>318554471126.55</v>
      </c>
    </row>
    <row ht="13.8" outlineLevel="0" r="61">
      <c r="A61" s="1" t="s">
        <v>7</v>
      </c>
      <c r="B61" s="1" t="s">
        <v>8</v>
      </c>
      <c r="C61" s="1" t="s">
        <v>9</v>
      </c>
      <c r="D61" s="3">
        <v>43770</v>
      </c>
      <c r="E61" s="1" t="s">
        <v>14</v>
      </c>
      <c r="F61" s="1" t="s">
        <v>15</v>
      </c>
      <c r="G61" s="1">
        <v>356942007132.25</v>
      </c>
    </row>
    <row ht="13.8" outlineLevel="0" r="62">
      <c r="A62" s="1" t="s">
        <v>7</v>
      </c>
      <c r="B62" s="1" t="s">
        <v>8</v>
      </c>
      <c r="C62" s="1" t="s">
        <v>9</v>
      </c>
      <c r="D62" s="3">
        <v>43770</v>
      </c>
      <c r="E62" s="1" t="s">
        <v>10</v>
      </c>
      <c r="F62" s="1" t="s">
        <v>11</v>
      </c>
      <c r="G62" s="1">
        <v>378720519632.19</v>
      </c>
    </row>
    <row ht="13.8" outlineLevel="0" r="63">
      <c r="A63" s="1" t="s">
        <v>7</v>
      </c>
      <c r="B63" s="1" t="s">
        <v>8</v>
      </c>
      <c r="C63" s="1" t="s">
        <v>9</v>
      </c>
      <c r="D63" s="3">
        <v>43770</v>
      </c>
      <c r="E63" s="1" t="s">
        <v>16</v>
      </c>
      <c r="F63" s="1" t="s">
        <v>17</v>
      </c>
      <c r="G63" s="1">
        <v>318806779772.11</v>
      </c>
    </row>
    <row ht="13.8" outlineLevel="0" r="64">
      <c r="A64" s="1" t="s">
        <v>7</v>
      </c>
      <c r="B64" s="1" t="s">
        <v>8</v>
      </c>
      <c r="C64" s="1" t="s">
        <v>9</v>
      </c>
      <c r="D64" s="3">
        <v>43739</v>
      </c>
      <c r="E64" s="1" t="s">
        <v>10</v>
      </c>
      <c r="F64" s="1" t="s">
        <v>11</v>
      </c>
      <c r="G64" s="1">
        <v>378434798385.42</v>
      </c>
    </row>
    <row ht="13.8" outlineLevel="0" r="65">
      <c r="A65" s="1" t="s">
        <v>7</v>
      </c>
      <c r="B65" s="1" t="s">
        <v>8</v>
      </c>
      <c r="C65" s="1" t="s">
        <v>9</v>
      </c>
      <c r="D65" s="3">
        <v>43739</v>
      </c>
      <c r="E65" s="1" t="s">
        <v>18</v>
      </c>
      <c r="F65" s="1" t="s">
        <v>19</v>
      </c>
      <c r="G65" s="1">
        <v>286498373446.02</v>
      </c>
    </row>
    <row ht="13.8" outlineLevel="0" r="66">
      <c r="A66" s="1" t="s">
        <v>7</v>
      </c>
      <c r="B66" s="1" t="s">
        <v>8</v>
      </c>
      <c r="C66" s="1" t="s">
        <v>9</v>
      </c>
      <c r="D66" s="3">
        <v>43739</v>
      </c>
      <c r="E66" s="1" t="s">
        <v>16</v>
      </c>
      <c r="F66" s="1" t="s">
        <v>17</v>
      </c>
      <c r="G66" s="1">
        <v>286611261850.49</v>
      </c>
    </row>
    <row ht="13.8" outlineLevel="0" r="67">
      <c r="A67" s="1" t="s">
        <v>7</v>
      </c>
      <c r="B67" s="1" t="s">
        <v>8</v>
      </c>
      <c r="C67" s="1" t="s">
        <v>9</v>
      </c>
      <c r="D67" s="3">
        <v>43739</v>
      </c>
      <c r="E67" s="1" t="s">
        <v>14</v>
      </c>
      <c r="F67" s="1" t="s">
        <v>15</v>
      </c>
      <c r="G67" s="1">
        <v>343104856772.34</v>
      </c>
    </row>
    <row ht="13.8" outlineLevel="0" r="68">
      <c r="A68" s="1" t="s">
        <v>7</v>
      </c>
      <c r="B68" s="1" t="s">
        <v>8</v>
      </c>
      <c r="C68" s="1" t="s">
        <v>9</v>
      </c>
      <c r="D68" s="3">
        <v>43709</v>
      </c>
      <c r="E68" s="1" t="s">
        <v>14</v>
      </c>
      <c r="F68" s="1" t="s">
        <v>15</v>
      </c>
      <c r="G68" s="1">
        <v>330565612840.68</v>
      </c>
    </row>
    <row ht="13.8" outlineLevel="0" r="69">
      <c r="A69" s="1" t="s">
        <v>7</v>
      </c>
      <c r="B69" s="1" t="s">
        <v>8</v>
      </c>
      <c r="C69" s="1" t="s">
        <v>9</v>
      </c>
      <c r="D69" s="3">
        <v>43709</v>
      </c>
      <c r="E69" s="1" t="s">
        <v>10</v>
      </c>
      <c r="F69" s="1" t="s">
        <v>11</v>
      </c>
      <c r="G69" s="1">
        <v>371163040503.73</v>
      </c>
    </row>
    <row ht="13.8" outlineLevel="0" r="70">
      <c r="A70" s="1" t="s">
        <v>7</v>
      </c>
      <c r="B70" s="1" t="s">
        <v>8</v>
      </c>
      <c r="C70" s="1" t="s">
        <v>9</v>
      </c>
      <c r="D70" s="3">
        <v>43709</v>
      </c>
      <c r="E70" s="1" t="s">
        <v>18</v>
      </c>
      <c r="F70" s="1" t="s">
        <v>19</v>
      </c>
      <c r="G70" s="1">
        <v>260325552447.58</v>
      </c>
    </row>
    <row ht="13.8" outlineLevel="0" r="71">
      <c r="A71" s="1" t="s">
        <v>7</v>
      </c>
      <c r="B71" s="1" t="s">
        <v>8</v>
      </c>
      <c r="C71" s="1" t="s">
        <v>9</v>
      </c>
      <c r="D71" s="3">
        <v>43709</v>
      </c>
      <c r="E71" s="1" t="s">
        <v>16</v>
      </c>
      <c r="F71" s="1" t="s">
        <v>17</v>
      </c>
      <c r="G71" s="1">
        <v>260408954442.24</v>
      </c>
    </row>
    <row ht="13.8" outlineLevel="0" r="72">
      <c r="A72" s="1" t="s">
        <v>7</v>
      </c>
      <c r="B72" s="1" t="s">
        <v>8</v>
      </c>
      <c r="C72" s="1" t="s">
        <v>9</v>
      </c>
      <c r="D72" s="3">
        <v>43678</v>
      </c>
      <c r="E72" s="1" t="s">
        <v>16</v>
      </c>
      <c r="F72" s="1" t="s">
        <v>17</v>
      </c>
      <c r="G72" s="1">
        <v>235206844224.86</v>
      </c>
    </row>
    <row ht="13.8" outlineLevel="0" r="73">
      <c r="A73" s="1" t="s">
        <v>7</v>
      </c>
      <c r="B73" s="1" t="s">
        <v>8</v>
      </c>
      <c r="C73" s="1" t="s">
        <v>9</v>
      </c>
      <c r="D73" s="3">
        <v>43678</v>
      </c>
      <c r="E73" s="1" t="s">
        <v>10</v>
      </c>
      <c r="F73" s="1" t="s">
        <v>11</v>
      </c>
      <c r="G73" s="1">
        <v>371184057455.91</v>
      </c>
    </row>
    <row ht="13.8" outlineLevel="0" r="74">
      <c r="A74" s="1" t="s">
        <v>7</v>
      </c>
      <c r="B74" s="1" t="s">
        <v>8</v>
      </c>
      <c r="C74" s="1" t="s">
        <v>9</v>
      </c>
      <c r="D74" s="3">
        <v>43678</v>
      </c>
      <c r="E74" s="1" t="s">
        <v>14</v>
      </c>
      <c r="F74" s="1" t="s">
        <v>15</v>
      </c>
      <c r="G74" s="1">
        <v>328710643859.56</v>
      </c>
    </row>
    <row ht="13.8" outlineLevel="0" r="75">
      <c r="A75" s="1" t="s">
        <v>7</v>
      </c>
      <c r="B75" s="1" t="s">
        <v>8</v>
      </c>
      <c r="C75" s="1" t="s">
        <v>9</v>
      </c>
      <c r="D75" s="3">
        <v>43678</v>
      </c>
      <c r="E75" s="1" t="s">
        <v>18</v>
      </c>
      <c r="F75" s="1" t="s">
        <v>19</v>
      </c>
      <c r="G75" s="1">
        <v>235163721291.22</v>
      </c>
    </row>
    <row ht="13.8" outlineLevel="0" r="76">
      <c r="A76" s="1" t="s">
        <v>7</v>
      </c>
      <c r="B76" s="1" t="s">
        <v>8</v>
      </c>
      <c r="C76" s="1" t="s">
        <v>9</v>
      </c>
      <c r="D76" s="3">
        <v>43647</v>
      </c>
      <c r="E76" s="1" t="s">
        <v>18</v>
      </c>
      <c r="F76" s="1" t="s">
        <v>19</v>
      </c>
      <c r="G76" s="1">
        <v>204081630067.79</v>
      </c>
    </row>
    <row ht="13.8" outlineLevel="0" r="77">
      <c r="A77" s="1" t="s">
        <v>7</v>
      </c>
      <c r="B77" s="1" t="s">
        <v>8</v>
      </c>
      <c r="C77" s="1" t="s">
        <v>9</v>
      </c>
      <c r="D77" s="3">
        <v>43647</v>
      </c>
      <c r="E77" s="1" t="s">
        <v>10</v>
      </c>
      <c r="F77" s="1" t="s">
        <v>11</v>
      </c>
      <c r="G77" s="1">
        <v>370951469045.08</v>
      </c>
    </row>
    <row ht="13.8" outlineLevel="0" r="78">
      <c r="A78" s="1" t="s">
        <v>7</v>
      </c>
      <c r="B78" s="1" t="s">
        <v>8</v>
      </c>
      <c r="C78" s="1" t="s">
        <v>9</v>
      </c>
      <c r="D78" s="3">
        <v>43647</v>
      </c>
      <c r="E78" s="1" t="s">
        <v>16</v>
      </c>
      <c r="F78" s="1" t="s">
        <v>17</v>
      </c>
      <c r="G78" s="1">
        <v>204098672419.39</v>
      </c>
    </row>
    <row ht="13.8" outlineLevel="0" r="79">
      <c r="A79" s="1" t="s">
        <v>7</v>
      </c>
      <c r="B79" s="1" t="s">
        <v>8</v>
      </c>
      <c r="C79" s="1" t="s">
        <v>9</v>
      </c>
      <c r="D79" s="3">
        <v>43647</v>
      </c>
      <c r="E79" s="1" t="s">
        <v>14</v>
      </c>
      <c r="F79" s="1" t="s">
        <v>15</v>
      </c>
      <c r="G79" s="1">
        <v>317736462949.92</v>
      </c>
    </row>
    <row ht="13.8" outlineLevel="0" r="80">
      <c r="A80" s="1" t="s">
        <v>7</v>
      </c>
      <c r="B80" s="1" t="s">
        <v>8</v>
      </c>
      <c r="C80" s="1" t="s">
        <v>9</v>
      </c>
      <c r="D80" s="3">
        <v>43617</v>
      </c>
      <c r="E80" s="1" t="s">
        <v>10</v>
      </c>
      <c r="F80" s="1" t="s">
        <v>11</v>
      </c>
      <c r="G80" s="1">
        <v>369401168279.46</v>
      </c>
    </row>
    <row ht="13.8" outlineLevel="0" r="81">
      <c r="A81" s="1" t="s">
        <v>7</v>
      </c>
      <c r="B81" s="1" t="s">
        <v>8</v>
      </c>
      <c r="C81" s="1" t="s">
        <v>9</v>
      </c>
      <c r="D81" s="3">
        <v>43617</v>
      </c>
      <c r="E81" s="1" t="s">
        <v>14</v>
      </c>
      <c r="F81" s="1" t="s">
        <v>15</v>
      </c>
      <c r="G81" s="1">
        <v>302727528746.42</v>
      </c>
    </row>
    <row ht="13.8" outlineLevel="0" r="82">
      <c r="A82" s="1" t="s">
        <v>7</v>
      </c>
      <c r="B82" s="1" t="s">
        <v>8</v>
      </c>
      <c r="C82" s="1" t="s">
        <v>9</v>
      </c>
      <c r="D82" s="3">
        <v>43617</v>
      </c>
      <c r="E82" s="1" t="s">
        <v>16</v>
      </c>
      <c r="F82" s="1" t="s">
        <v>17</v>
      </c>
      <c r="G82" s="1">
        <v>172430911284.93</v>
      </c>
    </row>
    <row ht="13.8" outlineLevel="0" r="83">
      <c r="A83" s="1" t="s">
        <v>7</v>
      </c>
      <c r="B83" s="1" t="s">
        <v>8</v>
      </c>
      <c r="C83" s="1" t="s">
        <v>9</v>
      </c>
      <c r="D83" s="3">
        <v>43617</v>
      </c>
      <c r="E83" s="1" t="s">
        <v>18</v>
      </c>
      <c r="F83" s="1" t="s">
        <v>19</v>
      </c>
      <c r="G83" s="1">
        <v>172325470739.1</v>
      </c>
    </row>
    <row ht="13.8" outlineLevel="0" r="84">
      <c r="A84" s="1" t="s">
        <v>7</v>
      </c>
      <c r="B84" s="1" t="s">
        <v>8</v>
      </c>
      <c r="C84" s="1" t="s">
        <v>9</v>
      </c>
      <c r="D84" s="3">
        <v>43586</v>
      </c>
      <c r="E84" s="1" t="s">
        <v>18</v>
      </c>
      <c r="F84" s="1" t="s">
        <v>19</v>
      </c>
      <c r="G84" s="1">
        <v>145624666402.88</v>
      </c>
    </row>
    <row ht="13.8" outlineLevel="0" r="85">
      <c r="A85" s="1" t="s">
        <v>7</v>
      </c>
      <c r="B85" s="1" t="s">
        <v>8</v>
      </c>
      <c r="C85" s="1" t="s">
        <v>9</v>
      </c>
      <c r="D85" s="3">
        <v>43586</v>
      </c>
      <c r="E85" s="1" t="s">
        <v>10</v>
      </c>
      <c r="F85" s="1" t="s">
        <v>11</v>
      </c>
      <c r="G85" s="1">
        <v>369420556407.23</v>
      </c>
    </row>
    <row ht="13.8" outlineLevel="0" r="86">
      <c r="A86" s="1" t="s">
        <v>7</v>
      </c>
      <c r="B86" s="1" t="s">
        <v>8</v>
      </c>
      <c r="C86" s="1" t="s">
        <v>9</v>
      </c>
      <c r="D86" s="3">
        <v>43586</v>
      </c>
      <c r="E86" s="1" t="s">
        <v>16</v>
      </c>
      <c r="F86" s="1" t="s">
        <v>17</v>
      </c>
      <c r="G86" s="1">
        <v>145629951198.6</v>
      </c>
    </row>
    <row ht="13.8" outlineLevel="0" r="87">
      <c r="A87" s="1" t="s">
        <v>7</v>
      </c>
      <c r="B87" s="1" t="s">
        <v>8</v>
      </c>
      <c r="C87" s="1" t="s">
        <v>9</v>
      </c>
      <c r="D87" s="3">
        <v>43586</v>
      </c>
      <c r="E87" s="1" t="s">
        <v>14</v>
      </c>
      <c r="F87" s="1" t="s">
        <v>15</v>
      </c>
      <c r="G87" s="1">
        <v>297893723324.19</v>
      </c>
    </row>
    <row ht="13.8" outlineLevel="0" r="88">
      <c r="A88" s="1" t="s">
        <v>7</v>
      </c>
      <c r="B88" s="1" t="s">
        <v>8</v>
      </c>
      <c r="C88" s="1" t="s">
        <v>9</v>
      </c>
      <c r="D88" s="3">
        <v>43556</v>
      </c>
      <c r="E88" s="1" t="s">
        <v>18</v>
      </c>
      <c r="F88" s="1" t="s">
        <v>19</v>
      </c>
      <c r="G88" s="1">
        <v>111170823042.84</v>
      </c>
    </row>
    <row ht="13.8" outlineLevel="0" r="89">
      <c r="A89" s="1" t="s">
        <v>7</v>
      </c>
      <c r="B89" s="1" t="s">
        <v>8</v>
      </c>
      <c r="C89" s="1" t="s">
        <v>9</v>
      </c>
      <c r="D89" s="3">
        <v>43556</v>
      </c>
      <c r="E89" s="1" t="s">
        <v>16</v>
      </c>
      <c r="F89" s="1" t="s">
        <v>17</v>
      </c>
      <c r="G89" s="1">
        <v>111172531022.75</v>
      </c>
    </row>
    <row ht="13.8" outlineLevel="0" r="90">
      <c r="A90" s="1" t="s">
        <v>7</v>
      </c>
      <c r="B90" s="1" t="s">
        <v>8</v>
      </c>
      <c r="C90" s="1" t="s">
        <v>9</v>
      </c>
      <c r="D90" s="3">
        <v>43556</v>
      </c>
      <c r="E90" s="1" t="s">
        <v>14</v>
      </c>
      <c r="F90" s="1" t="s">
        <v>15</v>
      </c>
      <c r="G90" s="1">
        <v>287075090637.46</v>
      </c>
    </row>
    <row ht="13.8" outlineLevel="0" r="91">
      <c r="A91" s="1" t="s">
        <v>7</v>
      </c>
      <c r="B91" s="1" t="s">
        <v>8</v>
      </c>
      <c r="C91" s="1" t="s">
        <v>9</v>
      </c>
      <c r="D91" s="3">
        <v>43556</v>
      </c>
      <c r="E91" s="1" t="s">
        <v>10</v>
      </c>
      <c r="F91" s="1" t="s">
        <v>11</v>
      </c>
      <c r="G91" s="1">
        <v>368659979812.09</v>
      </c>
    </row>
    <row ht="13.8" outlineLevel="0" r="92">
      <c r="A92" s="1" t="s">
        <v>7</v>
      </c>
      <c r="B92" s="1" t="s">
        <v>8</v>
      </c>
      <c r="C92" s="1" t="s">
        <v>9</v>
      </c>
      <c r="D92" s="3">
        <v>43525</v>
      </c>
      <c r="E92" s="1" t="s">
        <v>18</v>
      </c>
      <c r="F92" s="1" t="s">
        <v>19</v>
      </c>
      <c r="G92" s="1">
        <v>83691656459.63</v>
      </c>
    </row>
    <row ht="13.8" outlineLevel="0" r="93">
      <c r="A93" s="1" t="s">
        <v>7</v>
      </c>
      <c r="B93" s="1" t="s">
        <v>8</v>
      </c>
      <c r="C93" s="1" t="s">
        <v>9</v>
      </c>
      <c r="D93" s="3">
        <v>43525</v>
      </c>
      <c r="E93" s="1" t="s">
        <v>10</v>
      </c>
      <c r="F93" s="1" t="s">
        <v>11</v>
      </c>
      <c r="G93" s="1">
        <v>367974469553.28</v>
      </c>
    </row>
    <row ht="13.8" outlineLevel="0" r="94">
      <c r="A94" s="1" t="s">
        <v>7</v>
      </c>
      <c r="B94" s="1" t="s">
        <v>8</v>
      </c>
      <c r="C94" s="1" t="s">
        <v>9</v>
      </c>
      <c r="D94" s="3">
        <v>43525</v>
      </c>
      <c r="E94" s="1" t="s">
        <v>16</v>
      </c>
      <c r="F94" s="1" t="s">
        <v>17</v>
      </c>
      <c r="G94" s="1">
        <v>83713294656.79</v>
      </c>
    </row>
    <row ht="13.8" outlineLevel="0" r="95">
      <c r="A95" s="1" t="s">
        <v>7</v>
      </c>
      <c r="B95" s="1" t="s">
        <v>8</v>
      </c>
      <c r="C95" s="1" t="s">
        <v>9</v>
      </c>
      <c r="D95" s="3">
        <v>43525</v>
      </c>
      <c r="E95" s="1" t="s">
        <v>14</v>
      </c>
      <c r="F95" s="1" t="s">
        <v>15</v>
      </c>
      <c r="G95" s="1">
        <v>277832606376.59</v>
      </c>
    </row>
    <row ht="13.8" outlineLevel="0" r="96">
      <c r="A96" s="1" t="s">
        <v>7</v>
      </c>
      <c r="B96" s="1" t="s">
        <v>8</v>
      </c>
      <c r="C96" s="1" t="s">
        <v>9</v>
      </c>
      <c r="D96" s="3">
        <v>43497</v>
      </c>
      <c r="E96" s="1" t="s">
        <v>16</v>
      </c>
      <c r="F96" s="1" t="s">
        <v>17</v>
      </c>
      <c r="G96" s="1">
        <v>61898598571.2</v>
      </c>
    </row>
    <row ht="13.8" outlineLevel="0" r="97">
      <c r="A97" s="1" t="s">
        <v>7</v>
      </c>
      <c r="B97" s="1" t="s">
        <v>8</v>
      </c>
      <c r="C97" s="1" t="s">
        <v>9</v>
      </c>
      <c r="D97" s="3">
        <v>43497</v>
      </c>
      <c r="E97" s="1" t="s">
        <v>18</v>
      </c>
      <c r="F97" s="1" t="s">
        <v>19</v>
      </c>
      <c r="G97" s="1">
        <v>57795669298.1</v>
      </c>
    </row>
    <row ht="13.8" outlineLevel="0" r="98">
      <c r="A98" s="1" t="s">
        <v>7</v>
      </c>
      <c r="B98" s="1" t="s">
        <v>8</v>
      </c>
      <c r="C98" s="1" t="s">
        <v>9</v>
      </c>
      <c r="D98" s="3">
        <v>43497</v>
      </c>
      <c r="E98" s="1" t="s">
        <v>14</v>
      </c>
      <c r="F98" s="1" t="s">
        <v>15</v>
      </c>
      <c r="G98" s="1">
        <v>274222550064.94</v>
      </c>
    </row>
    <row ht="13.8" outlineLevel="0" r="99">
      <c r="A99" s="1" t="s">
        <v>7</v>
      </c>
      <c r="B99" s="1" t="s">
        <v>8</v>
      </c>
      <c r="C99" s="1" t="s">
        <v>9</v>
      </c>
      <c r="D99" s="3">
        <v>43497</v>
      </c>
      <c r="E99" s="1" t="s">
        <v>10</v>
      </c>
      <c r="F99" s="1" t="s">
        <v>11</v>
      </c>
      <c r="G99" s="1">
        <v>367786964374.36</v>
      </c>
    </row>
    <row ht="13.8" outlineLevel="0" r="100">
      <c r="A100" s="1" t="s">
        <v>7</v>
      </c>
      <c r="B100" s="1" t="s">
        <v>8</v>
      </c>
      <c r="C100" s="1" t="s">
        <v>9</v>
      </c>
      <c r="D100" s="3">
        <v>43466</v>
      </c>
      <c r="E100" s="1" t="s">
        <v>18</v>
      </c>
      <c r="F100" s="1" t="s">
        <v>19</v>
      </c>
      <c r="G100" s="1">
        <v>22508254828.71</v>
      </c>
    </row>
    <row ht="13.8" outlineLevel="0" r="101">
      <c r="A101" s="1" t="s">
        <v>7</v>
      </c>
      <c r="B101" s="1" t="s">
        <v>8</v>
      </c>
      <c r="C101" s="1" t="s">
        <v>9</v>
      </c>
      <c r="D101" s="3">
        <v>43466</v>
      </c>
      <c r="E101" s="1" t="s">
        <v>10</v>
      </c>
      <c r="F101" s="1" t="s">
        <v>11</v>
      </c>
      <c r="G101" s="1">
        <v>367999797842.91</v>
      </c>
    </row>
    <row ht="13.8" outlineLevel="0" r="102">
      <c r="A102" s="1" t="s">
        <v>7</v>
      </c>
      <c r="B102" s="1" t="s">
        <v>8</v>
      </c>
      <c r="C102" s="1" t="s">
        <v>9</v>
      </c>
      <c r="D102" s="3">
        <v>43466</v>
      </c>
      <c r="E102" s="1" t="s">
        <v>14</v>
      </c>
      <c r="F102" s="1" t="s">
        <v>15</v>
      </c>
      <c r="G102" s="1">
        <v>259585703910.06</v>
      </c>
    </row>
    <row ht="13.8" outlineLevel="0" r="103">
      <c r="A103" s="1" t="s">
        <v>7</v>
      </c>
      <c r="B103" s="1" t="s">
        <v>8</v>
      </c>
      <c r="C103" s="1" t="s">
        <v>9</v>
      </c>
      <c r="D103" s="3">
        <v>43466</v>
      </c>
      <c r="E103" s="1" t="s">
        <v>16</v>
      </c>
      <c r="F103" s="1" t="s">
        <v>17</v>
      </c>
      <c r="G103" s="1">
        <v>22509040521.44</v>
      </c>
    </row>
    <row ht="13.8" outlineLevel="0" r="104">
      <c r="A104" s="1" t="s">
        <v>12</v>
      </c>
      <c r="B104" s="1" t="s">
        <v>8</v>
      </c>
      <c r="C104" s="1" t="s">
        <v>9</v>
      </c>
      <c r="D104" s="3">
        <v>44197</v>
      </c>
      <c r="E104" s="1" t="s">
        <v>14</v>
      </c>
      <c r="F104" s="1" t="s">
        <v>15</v>
      </c>
      <c r="G104" s="1">
        <v>230405093036.83</v>
      </c>
    </row>
    <row ht="13.8" outlineLevel="0" r="105">
      <c r="A105" s="1" t="s">
        <v>12</v>
      </c>
      <c r="B105" s="1" t="s">
        <v>8</v>
      </c>
      <c r="C105" s="1" t="s">
        <v>9</v>
      </c>
      <c r="D105" s="3">
        <v>44197</v>
      </c>
      <c r="E105" s="1" t="s">
        <v>10</v>
      </c>
      <c r="F105" s="1" t="s">
        <v>11</v>
      </c>
      <c r="G105" s="1">
        <v>430692827249</v>
      </c>
    </row>
    <row ht="13.8" outlineLevel="0" r="106">
      <c r="A106" s="1" t="s">
        <v>12</v>
      </c>
      <c r="B106" s="1" t="s">
        <v>8</v>
      </c>
      <c r="C106" s="1" t="s">
        <v>9</v>
      </c>
      <c r="D106" s="3">
        <v>44197</v>
      </c>
      <c r="E106" s="1" t="s">
        <v>18</v>
      </c>
      <c r="F106" s="1" t="s">
        <v>19</v>
      </c>
      <c r="G106" s="1">
        <v>11232946928.44</v>
      </c>
    </row>
    <row ht="13.8" outlineLevel="0" r="107">
      <c r="A107" s="1" t="s">
        <v>12</v>
      </c>
      <c r="B107" s="1" t="s">
        <v>8</v>
      </c>
      <c r="C107" s="1" t="s">
        <v>9</v>
      </c>
      <c r="D107" s="3">
        <v>44197</v>
      </c>
      <c r="E107" s="1" t="s">
        <v>16</v>
      </c>
      <c r="F107" s="1" t="s">
        <v>17</v>
      </c>
      <c r="G107" s="1">
        <v>52326856110.13</v>
      </c>
    </row>
    <row ht="13.8" outlineLevel="0" r="108">
      <c r="A108" s="1" t="s">
        <v>12</v>
      </c>
      <c r="B108" s="1" t="s">
        <v>8</v>
      </c>
      <c r="C108" s="1" t="s">
        <v>9</v>
      </c>
      <c r="D108" s="3">
        <v>44166</v>
      </c>
      <c r="E108" s="1" t="s">
        <v>20</v>
      </c>
      <c r="F108" s="1" t="s">
        <v>21</v>
      </c>
      <c r="G108" s="1">
        <v>2729912341.95</v>
      </c>
    </row>
    <row ht="13.8" outlineLevel="0" r="109">
      <c r="A109" s="1" t="s">
        <v>12</v>
      </c>
      <c r="B109" s="1" t="s">
        <v>8</v>
      </c>
      <c r="C109" s="1" t="s">
        <v>9</v>
      </c>
      <c r="D109" s="3">
        <v>44166</v>
      </c>
      <c r="E109" s="1" t="s">
        <v>10</v>
      </c>
      <c r="F109" s="1" t="s">
        <v>11</v>
      </c>
      <c r="G109" s="1">
        <v>674243441039</v>
      </c>
    </row>
    <row ht="13.8" outlineLevel="0" r="110">
      <c r="A110" s="1" t="s">
        <v>12</v>
      </c>
      <c r="B110" s="1" t="s">
        <v>8</v>
      </c>
      <c r="C110" s="1" t="s">
        <v>9</v>
      </c>
      <c r="D110" s="3">
        <v>44166</v>
      </c>
      <c r="E110" s="1" t="s">
        <v>18</v>
      </c>
      <c r="F110" s="1" t="s">
        <v>19</v>
      </c>
      <c r="G110" s="1">
        <v>627878641706</v>
      </c>
    </row>
    <row ht="13.8" outlineLevel="0" r="111">
      <c r="A111" s="1" t="s">
        <v>12</v>
      </c>
      <c r="B111" s="1" t="s">
        <v>8</v>
      </c>
      <c r="C111" s="1" t="s">
        <v>9</v>
      </c>
      <c r="D111" s="3">
        <v>44166</v>
      </c>
      <c r="E111" s="1" t="s">
        <v>16</v>
      </c>
      <c r="F111" s="1" t="s">
        <v>17</v>
      </c>
      <c r="G111" s="1">
        <v>666977055493.87</v>
      </c>
    </row>
    <row ht="13.8" outlineLevel="0" r="112">
      <c r="A112" s="1" t="s">
        <v>12</v>
      </c>
      <c r="B112" s="1" t="s">
        <v>8</v>
      </c>
      <c r="C112" s="1" t="s">
        <v>9</v>
      </c>
      <c r="D112" s="3">
        <v>44166</v>
      </c>
      <c r="E112" s="1" t="s">
        <v>14</v>
      </c>
      <c r="F112" s="1" t="s">
        <v>15</v>
      </c>
      <c r="G112" s="1">
        <v>669706967835.82</v>
      </c>
    </row>
    <row ht="13.8" outlineLevel="0" r="113">
      <c r="A113" s="1" t="s">
        <v>12</v>
      </c>
      <c r="B113" s="1" t="s">
        <v>8</v>
      </c>
      <c r="C113" s="1" t="s">
        <v>9</v>
      </c>
      <c r="D113" s="3">
        <v>44136</v>
      </c>
      <c r="E113" s="1" t="s">
        <v>18</v>
      </c>
      <c r="F113" s="1" t="s">
        <v>19</v>
      </c>
      <c r="G113" s="1">
        <v>575453798140.89</v>
      </c>
    </row>
    <row ht="13.8" outlineLevel="0" r="114">
      <c r="A114" s="1" t="s">
        <v>12</v>
      </c>
      <c r="B114" s="1" t="s">
        <v>8</v>
      </c>
      <c r="C114" s="1" t="s">
        <v>9</v>
      </c>
      <c r="D114" s="3">
        <v>44136</v>
      </c>
      <c r="E114" s="1" t="s">
        <v>14</v>
      </c>
      <c r="F114" s="1" t="s">
        <v>15</v>
      </c>
      <c r="G114" s="1">
        <v>670935663045.41</v>
      </c>
    </row>
    <row ht="13.8" outlineLevel="0" r="115">
      <c r="A115" s="1" t="s">
        <v>12</v>
      </c>
      <c r="B115" s="1" t="s">
        <v>8</v>
      </c>
      <c r="C115" s="1" t="s">
        <v>9</v>
      </c>
      <c r="D115" s="3">
        <v>44136</v>
      </c>
      <c r="E115" s="1" t="s">
        <v>16</v>
      </c>
      <c r="F115" s="1" t="s">
        <v>17</v>
      </c>
      <c r="G115" s="1">
        <v>615571184887.88</v>
      </c>
    </row>
    <row ht="13.8" outlineLevel="0" r="116">
      <c r="A116" s="1" t="s">
        <v>12</v>
      </c>
      <c r="B116" s="1" t="s">
        <v>8</v>
      </c>
      <c r="C116" s="1" t="s">
        <v>9</v>
      </c>
      <c r="D116" s="3">
        <v>44136</v>
      </c>
      <c r="E116" s="1" t="s">
        <v>10</v>
      </c>
      <c r="F116" s="1" t="s">
        <v>11</v>
      </c>
      <c r="G116" s="1">
        <v>678078821725</v>
      </c>
    </row>
    <row ht="13.8" outlineLevel="0" r="117">
      <c r="A117" s="1" t="s">
        <v>12</v>
      </c>
      <c r="B117" s="1" t="s">
        <v>8</v>
      </c>
      <c r="C117" s="1" t="s">
        <v>9</v>
      </c>
      <c r="D117" s="3">
        <v>44105</v>
      </c>
      <c r="E117" s="1" t="s">
        <v>18</v>
      </c>
      <c r="F117" s="1" t="s">
        <v>19</v>
      </c>
      <c r="G117" s="1">
        <v>524353512910.89</v>
      </c>
    </row>
    <row ht="13.8" outlineLevel="0" r="118">
      <c r="A118" s="1" t="s">
        <v>12</v>
      </c>
      <c r="B118" s="1" t="s">
        <v>8</v>
      </c>
      <c r="C118" s="1" t="s">
        <v>9</v>
      </c>
      <c r="D118" s="3">
        <v>44105</v>
      </c>
      <c r="E118" s="1" t="s">
        <v>16</v>
      </c>
      <c r="F118" s="1" t="s">
        <v>17</v>
      </c>
      <c r="G118" s="1">
        <v>563334716362.75</v>
      </c>
    </row>
    <row ht="13.8" outlineLevel="0" r="119">
      <c r="A119" s="1" t="s">
        <v>12</v>
      </c>
      <c r="B119" s="1" t="s">
        <v>8</v>
      </c>
      <c r="C119" s="1" t="s">
        <v>9</v>
      </c>
      <c r="D119" s="3">
        <v>44105</v>
      </c>
      <c r="E119" s="1" t="s">
        <v>14</v>
      </c>
      <c r="F119" s="1" t="s">
        <v>15</v>
      </c>
      <c r="G119" s="1">
        <v>671323370941.7</v>
      </c>
    </row>
    <row ht="13.8" outlineLevel="0" r="120">
      <c r="A120" s="1" t="s">
        <v>12</v>
      </c>
      <c r="B120" s="1" t="s">
        <v>8</v>
      </c>
      <c r="C120" s="1" t="s">
        <v>9</v>
      </c>
      <c r="D120" s="3">
        <v>44105</v>
      </c>
      <c r="E120" s="1" t="s">
        <v>10</v>
      </c>
      <c r="F120" s="1" t="s">
        <v>11</v>
      </c>
      <c r="G120" s="1">
        <v>678185236768</v>
      </c>
    </row>
    <row ht="13.8" outlineLevel="0" r="121">
      <c r="A121" s="1" t="s">
        <v>12</v>
      </c>
      <c r="B121" s="1" t="s">
        <v>8</v>
      </c>
      <c r="C121" s="1" t="s">
        <v>9</v>
      </c>
      <c r="D121" s="3">
        <v>44075</v>
      </c>
      <c r="E121" s="1" t="s">
        <v>18</v>
      </c>
      <c r="F121" s="1" t="s">
        <v>19</v>
      </c>
      <c r="G121" s="1">
        <v>473242472509.13</v>
      </c>
    </row>
    <row ht="13.8" outlineLevel="0" r="122">
      <c r="A122" s="1" t="s">
        <v>12</v>
      </c>
      <c r="B122" s="1" t="s">
        <v>8</v>
      </c>
      <c r="C122" s="1" t="s">
        <v>9</v>
      </c>
      <c r="D122" s="3">
        <v>44075</v>
      </c>
      <c r="E122" s="1" t="s">
        <v>16</v>
      </c>
      <c r="F122" s="1" t="s">
        <v>17</v>
      </c>
      <c r="G122" s="1">
        <v>512480548247.48</v>
      </c>
    </row>
    <row ht="13.8" outlineLevel="0" r="123">
      <c r="A123" s="1" t="s">
        <v>12</v>
      </c>
      <c r="B123" s="1" t="s">
        <v>8</v>
      </c>
      <c r="C123" s="1" t="s">
        <v>9</v>
      </c>
      <c r="D123" s="3">
        <v>44075</v>
      </c>
      <c r="E123" s="1" t="s">
        <v>14</v>
      </c>
      <c r="F123" s="1" t="s">
        <v>15</v>
      </c>
      <c r="G123" s="1">
        <v>670261767958.05</v>
      </c>
    </row>
    <row ht="13.8" outlineLevel="0" r="124">
      <c r="A124" s="1" t="s">
        <v>12</v>
      </c>
      <c r="B124" s="1" t="s">
        <v>8</v>
      </c>
      <c r="C124" s="1" t="s">
        <v>9</v>
      </c>
      <c r="D124" s="3">
        <v>44075</v>
      </c>
      <c r="E124" s="1" t="s">
        <v>10</v>
      </c>
      <c r="F124" s="1" t="s">
        <v>11</v>
      </c>
      <c r="G124" s="1">
        <v>678073398650</v>
      </c>
    </row>
    <row ht="13.8" outlineLevel="0" r="125">
      <c r="A125" s="1" t="s">
        <v>12</v>
      </c>
      <c r="B125" s="1" t="s">
        <v>8</v>
      </c>
      <c r="C125" s="1" t="s">
        <v>9</v>
      </c>
      <c r="D125" s="3">
        <v>44044</v>
      </c>
      <c r="E125" s="1" t="s">
        <v>10</v>
      </c>
      <c r="F125" s="1" t="s">
        <v>11</v>
      </c>
      <c r="G125" s="1">
        <v>677698670758</v>
      </c>
    </row>
    <row ht="13.8" outlineLevel="0" r="126">
      <c r="A126" s="1" t="s">
        <v>12</v>
      </c>
      <c r="B126" s="1" t="s">
        <v>8</v>
      </c>
      <c r="C126" s="1" t="s">
        <v>9</v>
      </c>
      <c r="D126" s="3">
        <v>44044</v>
      </c>
      <c r="E126" s="1" t="s">
        <v>14</v>
      </c>
      <c r="F126" s="1" t="s">
        <v>15</v>
      </c>
      <c r="G126" s="1">
        <v>669309914164.1</v>
      </c>
    </row>
    <row ht="13.8" outlineLevel="0" r="127">
      <c r="A127" s="1" t="s">
        <v>12</v>
      </c>
      <c r="B127" s="1" t="s">
        <v>8</v>
      </c>
      <c r="C127" s="1" t="s">
        <v>9</v>
      </c>
      <c r="D127" s="3">
        <v>44044</v>
      </c>
      <c r="E127" s="1" t="s">
        <v>16</v>
      </c>
      <c r="F127" s="1" t="s">
        <v>17</v>
      </c>
      <c r="G127" s="1">
        <v>461670400134.05</v>
      </c>
    </row>
    <row ht="13.8" outlineLevel="0" r="128">
      <c r="A128" s="1" t="s">
        <v>12</v>
      </c>
      <c r="B128" s="1" t="s">
        <v>8</v>
      </c>
      <c r="C128" s="1" t="s">
        <v>9</v>
      </c>
      <c r="D128" s="3">
        <v>44044</v>
      </c>
      <c r="E128" s="1" t="s">
        <v>18</v>
      </c>
      <c r="F128" s="1" t="s">
        <v>19</v>
      </c>
      <c r="G128" s="1">
        <v>422653708227.35</v>
      </c>
    </row>
    <row ht="13.8" outlineLevel="0" r="129">
      <c r="A129" s="1" t="s">
        <v>12</v>
      </c>
      <c r="B129" s="1" t="s">
        <v>8</v>
      </c>
      <c r="C129" s="1" t="s">
        <v>9</v>
      </c>
      <c r="D129" s="3">
        <v>44013</v>
      </c>
      <c r="E129" s="1" t="s">
        <v>18</v>
      </c>
      <c r="F129" s="1" t="s">
        <v>19</v>
      </c>
      <c r="G129" s="1">
        <v>372545868838.53</v>
      </c>
    </row>
    <row ht="13.8" outlineLevel="0" r="130">
      <c r="A130" s="1" t="s">
        <v>12</v>
      </c>
      <c r="B130" s="1" t="s">
        <v>8</v>
      </c>
      <c r="C130" s="1" t="s">
        <v>9</v>
      </c>
      <c r="D130" s="3">
        <v>44013</v>
      </c>
      <c r="E130" s="1" t="s">
        <v>16</v>
      </c>
      <c r="F130" s="1" t="s">
        <v>17</v>
      </c>
      <c r="G130" s="1">
        <v>411153385204.33</v>
      </c>
    </row>
    <row ht="13.8" outlineLevel="0" r="131">
      <c r="A131" s="1" t="s">
        <v>12</v>
      </c>
      <c r="B131" s="1" t="s">
        <v>8</v>
      </c>
      <c r="C131" s="1" t="s">
        <v>9</v>
      </c>
      <c r="D131" s="3">
        <v>44013</v>
      </c>
      <c r="E131" s="1" t="s">
        <v>10</v>
      </c>
      <c r="F131" s="1" t="s">
        <v>11</v>
      </c>
      <c r="G131" s="1">
        <v>677698670758</v>
      </c>
    </row>
    <row ht="13.8" outlineLevel="0" r="132">
      <c r="A132" s="1" t="s">
        <v>12</v>
      </c>
      <c r="B132" s="1" t="s">
        <v>8</v>
      </c>
      <c r="C132" s="1" t="s">
        <v>9</v>
      </c>
      <c r="D132" s="3">
        <v>44013</v>
      </c>
      <c r="E132" s="1" t="s">
        <v>14</v>
      </c>
      <c r="F132" s="1" t="s">
        <v>15</v>
      </c>
      <c r="G132" s="1">
        <v>454091379353.34</v>
      </c>
    </row>
    <row ht="13.8" outlineLevel="0" r="133">
      <c r="A133" s="1" t="s">
        <v>12</v>
      </c>
      <c r="B133" s="1" t="s">
        <v>8</v>
      </c>
      <c r="C133" s="1" t="s">
        <v>9</v>
      </c>
      <c r="D133" s="3">
        <v>43983</v>
      </c>
      <c r="E133" s="1" t="s">
        <v>18</v>
      </c>
      <c r="F133" s="1" t="s">
        <v>19</v>
      </c>
      <c r="G133" s="1">
        <v>321880935503.02</v>
      </c>
    </row>
    <row ht="13.8" outlineLevel="0" r="134">
      <c r="A134" s="1" t="s">
        <v>12</v>
      </c>
      <c r="B134" s="1" t="s">
        <v>8</v>
      </c>
      <c r="C134" s="1" t="s">
        <v>9</v>
      </c>
      <c r="D134" s="3">
        <v>43983</v>
      </c>
      <c r="E134" s="1" t="s">
        <v>16</v>
      </c>
      <c r="F134" s="1" t="s">
        <v>17</v>
      </c>
      <c r="G134" s="1">
        <v>360515979562.97</v>
      </c>
    </row>
    <row ht="13.8" outlineLevel="0" r="135">
      <c r="A135" s="1" t="s">
        <v>12</v>
      </c>
      <c r="B135" s="1" t="s">
        <v>8</v>
      </c>
      <c r="C135" s="1" t="s">
        <v>9</v>
      </c>
      <c r="D135" s="3">
        <v>43983</v>
      </c>
      <c r="E135" s="1" t="s">
        <v>10</v>
      </c>
      <c r="F135" s="1" t="s">
        <v>11</v>
      </c>
      <c r="G135" s="1">
        <v>677698670758</v>
      </c>
    </row>
    <row ht="13.8" outlineLevel="0" r="136">
      <c r="A136" s="1" t="s">
        <v>12</v>
      </c>
      <c r="B136" s="1" t="s">
        <v>8</v>
      </c>
      <c r="C136" s="1" t="s">
        <v>9</v>
      </c>
      <c r="D136" s="3">
        <v>43983</v>
      </c>
      <c r="E136" s="1" t="s">
        <v>14</v>
      </c>
      <c r="F136" s="1" t="s">
        <v>15</v>
      </c>
      <c r="G136" s="1">
        <v>396036990015.16</v>
      </c>
    </row>
    <row ht="13.8" outlineLevel="0" r="137">
      <c r="A137" s="1" t="s">
        <v>12</v>
      </c>
      <c r="B137" s="1" t="s">
        <v>8</v>
      </c>
      <c r="C137" s="1" t="s">
        <v>9</v>
      </c>
      <c r="D137" s="3">
        <v>43952</v>
      </c>
      <c r="E137" s="1" t="s">
        <v>18</v>
      </c>
      <c r="F137" s="1" t="s">
        <v>19</v>
      </c>
      <c r="G137" s="1">
        <v>244987002051.05</v>
      </c>
    </row>
    <row ht="13.8" outlineLevel="0" r="138">
      <c r="A138" s="1" t="s">
        <v>12</v>
      </c>
      <c r="B138" s="1" t="s">
        <v>8</v>
      </c>
      <c r="C138" s="1" t="s">
        <v>9</v>
      </c>
      <c r="D138" s="3">
        <v>43952</v>
      </c>
      <c r="E138" s="1" t="s">
        <v>10</v>
      </c>
      <c r="F138" s="1" t="s">
        <v>11</v>
      </c>
      <c r="G138" s="1">
        <v>464001812778</v>
      </c>
    </row>
    <row ht="13.8" outlineLevel="0" r="139">
      <c r="A139" s="1" t="s">
        <v>12</v>
      </c>
      <c r="B139" s="1" t="s">
        <v>8</v>
      </c>
      <c r="C139" s="1" t="s">
        <v>9</v>
      </c>
      <c r="D139" s="3">
        <v>43952</v>
      </c>
      <c r="E139" s="1" t="s">
        <v>14</v>
      </c>
      <c r="F139" s="1" t="s">
        <v>15</v>
      </c>
      <c r="G139" s="1">
        <v>387009912221.09</v>
      </c>
    </row>
    <row ht="13.8" outlineLevel="0" r="140">
      <c r="A140" s="1" t="s">
        <v>12</v>
      </c>
      <c r="B140" s="1" t="s">
        <v>8</v>
      </c>
      <c r="C140" s="1" t="s">
        <v>9</v>
      </c>
      <c r="D140" s="3">
        <v>43952</v>
      </c>
      <c r="E140" s="1" t="s">
        <v>16</v>
      </c>
      <c r="F140" s="1" t="s">
        <v>17</v>
      </c>
      <c r="G140" s="1">
        <v>302259481964.27</v>
      </c>
    </row>
    <row ht="13.8" outlineLevel="0" r="141">
      <c r="A141" s="1" t="s">
        <v>12</v>
      </c>
      <c r="B141" s="1" t="s">
        <v>8</v>
      </c>
      <c r="C141" s="1" t="s">
        <v>9</v>
      </c>
      <c r="D141" s="3">
        <v>43922</v>
      </c>
      <c r="E141" s="1" t="s">
        <v>10</v>
      </c>
      <c r="F141" s="1" t="s">
        <v>11</v>
      </c>
      <c r="G141" s="1">
        <v>464001812778</v>
      </c>
    </row>
    <row ht="13.8" outlineLevel="0" r="142">
      <c r="A142" s="1" t="s">
        <v>12</v>
      </c>
      <c r="B142" s="1" t="s">
        <v>8</v>
      </c>
      <c r="C142" s="1" t="s">
        <v>9</v>
      </c>
      <c r="D142" s="3">
        <v>43922</v>
      </c>
      <c r="E142" s="1" t="s">
        <v>18</v>
      </c>
      <c r="F142" s="1" t="s">
        <v>19</v>
      </c>
      <c r="G142" s="1">
        <v>170423619854.11</v>
      </c>
    </row>
    <row ht="13.8" outlineLevel="0" r="143">
      <c r="A143" s="1" t="s">
        <v>12</v>
      </c>
      <c r="B143" s="1" t="s">
        <v>8</v>
      </c>
      <c r="C143" s="1" t="s">
        <v>9</v>
      </c>
      <c r="D143" s="3">
        <v>43922</v>
      </c>
      <c r="E143" s="1" t="s">
        <v>14</v>
      </c>
      <c r="F143" s="1" t="s">
        <v>15</v>
      </c>
      <c r="G143" s="1">
        <v>384003962661.89</v>
      </c>
    </row>
    <row ht="13.8" outlineLevel="0" r="144">
      <c r="A144" s="1" t="s">
        <v>12</v>
      </c>
      <c r="B144" s="1" t="s">
        <v>8</v>
      </c>
      <c r="C144" s="1" t="s">
        <v>9</v>
      </c>
      <c r="D144" s="3">
        <v>43922</v>
      </c>
      <c r="E144" s="1" t="s">
        <v>16</v>
      </c>
      <c r="F144" s="1" t="s">
        <v>17</v>
      </c>
      <c r="G144" s="1">
        <v>227899697997.98</v>
      </c>
    </row>
    <row ht="13.8" outlineLevel="0" r="145">
      <c r="A145" s="1" t="s">
        <v>12</v>
      </c>
      <c r="B145" s="1" t="s">
        <v>8</v>
      </c>
      <c r="C145" s="1" t="s">
        <v>9</v>
      </c>
      <c r="D145" s="3">
        <v>43891</v>
      </c>
      <c r="E145" s="1" t="s">
        <v>18</v>
      </c>
      <c r="F145" s="1" t="s">
        <v>19</v>
      </c>
      <c r="G145" s="1">
        <v>114248601285.73</v>
      </c>
    </row>
    <row ht="13.8" outlineLevel="0" r="146">
      <c r="A146" s="1" t="s">
        <v>12</v>
      </c>
      <c r="B146" s="1" t="s">
        <v>8</v>
      </c>
      <c r="C146" s="1" t="s">
        <v>9</v>
      </c>
      <c r="D146" s="3">
        <v>43891</v>
      </c>
      <c r="E146" s="1" t="s">
        <v>16</v>
      </c>
      <c r="F146" s="1" t="s">
        <v>17</v>
      </c>
      <c r="G146" s="1">
        <v>152931491317.18</v>
      </c>
    </row>
    <row ht="13.8" outlineLevel="0" r="147">
      <c r="A147" s="1" t="s">
        <v>12</v>
      </c>
      <c r="B147" s="1" t="s">
        <v>8</v>
      </c>
      <c r="C147" s="1" t="s">
        <v>9</v>
      </c>
      <c r="D147" s="3">
        <v>43891</v>
      </c>
      <c r="E147" s="1" t="s">
        <v>14</v>
      </c>
      <c r="F147" s="1" t="s">
        <v>15</v>
      </c>
      <c r="G147" s="1">
        <v>359413701858.36</v>
      </c>
    </row>
    <row ht="13.8" outlineLevel="0" r="148">
      <c r="A148" s="1" t="s">
        <v>12</v>
      </c>
      <c r="B148" s="1" t="s">
        <v>8</v>
      </c>
      <c r="C148" s="1" t="s">
        <v>9</v>
      </c>
      <c r="D148" s="3">
        <v>43891</v>
      </c>
      <c r="E148" s="1" t="s">
        <v>10</v>
      </c>
      <c r="F148" s="1" t="s">
        <v>11</v>
      </c>
      <c r="G148" s="1">
        <v>463996482778</v>
      </c>
    </row>
    <row ht="13.8" outlineLevel="0" r="149">
      <c r="A149" s="1" t="s">
        <v>12</v>
      </c>
      <c r="B149" s="1" t="s">
        <v>8</v>
      </c>
      <c r="C149" s="1" t="s">
        <v>9</v>
      </c>
      <c r="D149" s="3">
        <v>43862</v>
      </c>
      <c r="E149" s="1" t="s">
        <v>18</v>
      </c>
      <c r="F149" s="1" t="s">
        <v>19</v>
      </c>
      <c r="G149" s="1">
        <v>63746527926.58</v>
      </c>
    </row>
    <row ht="13.8" outlineLevel="0" r="150">
      <c r="A150" s="1" t="s">
        <v>12</v>
      </c>
      <c r="B150" s="1" t="s">
        <v>8</v>
      </c>
      <c r="C150" s="1" t="s">
        <v>9</v>
      </c>
      <c r="D150" s="3">
        <v>43862</v>
      </c>
      <c r="E150" s="1" t="s">
        <v>10</v>
      </c>
      <c r="F150" s="1" t="s">
        <v>11</v>
      </c>
      <c r="G150" s="1">
        <v>463996482778</v>
      </c>
    </row>
    <row ht="13.8" outlineLevel="0" r="151">
      <c r="A151" s="1" t="s">
        <v>12</v>
      </c>
      <c r="B151" s="1" t="s">
        <v>8</v>
      </c>
      <c r="C151" s="1" t="s">
        <v>9</v>
      </c>
      <c r="D151" s="3">
        <v>43862</v>
      </c>
      <c r="E151" s="1" t="s">
        <v>16</v>
      </c>
      <c r="F151" s="1" t="s">
        <v>17</v>
      </c>
      <c r="G151" s="1">
        <v>102507642520.99</v>
      </c>
    </row>
    <row ht="13.8" outlineLevel="0" r="152">
      <c r="A152" s="1" t="s">
        <v>12</v>
      </c>
      <c r="B152" s="1" t="s">
        <v>8</v>
      </c>
      <c r="C152" s="1" t="s">
        <v>9</v>
      </c>
      <c r="D152" s="3">
        <v>43862</v>
      </c>
      <c r="E152" s="1" t="s">
        <v>14</v>
      </c>
      <c r="F152" s="1" t="s">
        <v>15</v>
      </c>
      <c r="G152" s="1">
        <v>358608185689.59</v>
      </c>
    </row>
    <row ht="13.8" outlineLevel="0" r="153">
      <c r="A153" s="1" t="s">
        <v>12</v>
      </c>
      <c r="B153" s="1" t="s">
        <v>8</v>
      </c>
      <c r="C153" s="1" t="s">
        <v>9</v>
      </c>
      <c r="D153" s="3">
        <v>43831</v>
      </c>
      <c r="E153" s="1" t="s">
        <v>10</v>
      </c>
      <c r="F153" s="1" t="s">
        <v>11</v>
      </c>
      <c r="G153" s="1">
        <v>463996482778</v>
      </c>
    </row>
    <row ht="13.8" outlineLevel="0" r="154">
      <c r="A154" s="1" t="s">
        <v>12</v>
      </c>
      <c r="B154" s="1" t="s">
        <v>8</v>
      </c>
      <c r="C154" s="1" t="s">
        <v>9</v>
      </c>
      <c r="D154" s="3">
        <v>43831</v>
      </c>
      <c r="E154" s="1" t="s">
        <v>16</v>
      </c>
      <c r="F154" s="1" t="s">
        <v>17</v>
      </c>
      <c r="G154" s="1">
        <v>51467917252.42</v>
      </c>
    </row>
    <row ht="13.8" outlineLevel="0" r="155">
      <c r="A155" s="1" t="s">
        <v>12</v>
      </c>
      <c r="B155" s="1" t="s">
        <v>8</v>
      </c>
      <c r="C155" s="1" t="s">
        <v>9</v>
      </c>
      <c r="D155" s="3">
        <v>43831</v>
      </c>
      <c r="E155" s="1" t="s">
        <v>14</v>
      </c>
      <c r="F155" s="1" t="s">
        <v>15</v>
      </c>
      <c r="G155" s="1">
        <v>357969882498.24</v>
      </c>
    </row>
    <row ht="13.8" outlineLevel="0" r="156">
      <c r="A156" s="1" t="s">
        <v>12</v>
      </c>
      <c r="B156" s="1" t="s">
        <v>8</v>
      </c>
      <c r="C156" s="1" t="s">
        <v>9</v>
      </c>
      <c r="D156" s="3">
        <v>43831</v>
      </c>
      <c r="E156" s="1" t="s">
        <v>18</v>
      </c>
      <c r="F156" s="1" t="s">
        <v>19</v>
      </c>
      <c r="G156" s="1">
        <v>12810906381.79</v>
      </c>
    </row>
    <row ht="13.8" outlineLevel="0" r="157">
      <c r="A157" s="1" t="s">
        <v>12</v>
      </c>
      <c r="B157" s="1" t="s">
        <v>8</v>
      </c>
      <c r="C157" s="1" t="s">
        <v>9</v>
      </c>
      <c r="D157" s="3">
        <v>43800</v>
      </c>
      <c r="E157" s="1" t="s">
        <v>14</v>
      </c>
      <c r="F157" s="1" t="s">
        <v>15</v>
      </c>
      <c r="G157" s="1">
        <v>628468558497.32</v>
      </c>
    </row>
    <row ht="13.8" outlineLevel="0" r="158">
      <c r="A158" s="1" t="s">
        <v>12</v>
      </c>
      <c r="B158" s="1" t="s">
        <v>8</v>
      </c>
      <c r="C158" s="1" t="s">
        <v>9</v>
      </c>
      <c r="D158" s="3">
        <v>43800</v>
      </c>
      <c r="E158" s="1" t="s">
        <v>16</v>
      </c>
      <c r="F158" s="1" t="s">
        <v>17</v>
      </c>
      <c r="G158" s="1">
        <v>628240616332.99</v>
      </c>
    </row>
    <row ht="13.8" outlineLevel="0" r="159">
      <c r="A159" s="1" t="s">
        <v>12</v>
      </c>
      <c r="B159" s="1" t="s">
        <v>8</v>
      </c>
      <c r="C159" s="1" t="s">
        <v>9</v>
      </c>
      <c r="D159" s="3">
        <v>43800</v>
      </c>
      <c r="E159" s="1" t="s">
        <v>10</v>
      </c>
      <c r="F159" s="1" t="s">
        <v>11</v>
      </c>
      <c r="G159" s="1">
        <v>628901646846</v>
      </c>
    </row>
    <row ht="13.8" outlineLevel="0" r="160">
      <c r="A160" s="1" t="s">
        <v>12</v>
      </c>
      <c r="B160" s="1" t="s">
        <v>8</v>
      </c>
      <c r="C160" s="1" t="s">
        <v>9</v>
      </c>
      <c r="D160" s="3">
        <v>43800</v>
      </c>
      <c r="E160" s="1" t="s">
        <v>18</v>
      </c>
      <c r="F160" s="1" t="s">
        <v>19</v>
      </c>
      <c r="G160" s="1">
        <v>592841864682.65</v>
      </c>
    </row>
    <row ht="13.8" outlineLevel="0" r="161">
      <c r="A161" s="1" t="s">
        <v>12</v>
      </c>
      <c r="B161" s="1" t="s">
        <v>8</v>
      </c>
      <c r="C161" s="1" t="s">
        <v>9</v>
      </c>
      <c r="D161" s="3">
        <v>43800</v>
      </c>
      <c r="E161" s="1" t="s">
        <v>20</v>
      </c>
      <c r="F161" s="1" t="s">
        <v>21</v>
      </c>
      <c r="G161" s="1">
        <v>227942164.33</v>
      </c>
    </row>
    <row ht="13.8" outlineLevel="0" r="162">
      <c r="A162" s="1" t="s">
        <v>12</v>
      </c>
      <c r="B162" s="1" t="s">
        <v>8</v>
      </c>
      <c r="C162" s="1" t="s">
        <v>9</v>
      </c>
      <c r="D162" s="3">
        <v>43770</v>
      </c>
      <c r="E162" s="1" t="s">
        <v>16</v>
      </c>
      <c r="F162" s="1" t="s">
        <v>17</v>
      </c>
      <c r="G162" s="1">
        <v>581184520624.78</v>
      </c>
    </row>
    <row ht="13.8" outlineLevel="0" r="163">
      <c r="A163" s="1" t="s">
        <v>12</v>
      </c>
      <c r="B163" s="1" t="s">
        <v>8</v>
      </c>
      <c r="C163" s="1" t="s">
        <v>9</v>
      </c>
      <c r="D163" s="3">
        <v>43770</v>
      </c>
      <c r="E163" s="1" t="s">
        <v>14</v>
      </c>
      <c r="F163" s="1" t="s">
        <v>15</v>
      </c>
      <c r="G163" s="1">
        <v>627403475153.76</v>
      </c>
    </row>
    <row ht="13.8" outlineLevel="0" r="164">
      <c r="A164" s="1" t="s">
        <v>12</v>
      </c>
      <c r="B164" s="1" t="s">
        <v>8</v>
      </c>
      <c r="C164" s="1" t="s">
        <v>9</v>
      </c>
      <c r="D164" s="3">
        <v>43770</v>
      </c>
      <c r="E164" s="1" t="s">
        <v>18</v>
      </c>
      <c r="F164" s="1" t="s">
        <v>19</v>
      </c>
      <c r="G164" s="1">
        <v>526342511391.98</v>
      </c>
    </row>
    <row ht="13.8" outlineLevel="0" r="165">
      <c r="A165" s="1" t="s">
        <v>12</v>
      </c>
      <c r="B165" s="1" t="s">
        <v>8</v>
      </c>
      <c r="C165" s="1" t="s">
        <v>9</v>
      </c>
      <c r="D165" s="3">
        <v>43770</v>
      </c>
      <c r="E165" s="1" t="s">
        <v>10</v>
      </c>
      <c r="F165" s="1" t="s">
        <v>11</v>
      </c>
      <c r="G165" s="1">
        <v>633512591155</v>
      </c>
    </row>
    <row ht="13.8" outlineLevel="0" r="166">
      <c r="A166" s="1" t="s">
        <v>12</v>
      </c>
      <c r="B166" s="1" t="s">
        <v>8</v>
      </c>
      <c r="C166" s="1" t="s">
        <v>9</v>
      </c>
      <c r="D166" s="3">
        <v>43739</v>
      </c>
      <c r="E166" s="1" t="s">
        <v>16</v>
      </c>
      <c r="F166" s="1" t="s">
        <v>17</v>
      </c>
      <c r="G166" s="1">
        <v>509523387188.16</v>
      </c>
    </row>
    <row ht="13.8" outlineLevel="0" r="167">
      <c r="A167" s="1" t="s">
        <v>12</v>
      </c>
      <c r="B167" s="1" t="s">
        <v>8</v>
      </c>
      <c r="C167" s="1" t="s">
        <v>9</v>
      </c>
      <c r="D167" s="3">
        <v>43739</v>
      </c>
      <c r="E167" s="1" t="s">
        <v>18</v>
      </c>
      <c r="F167" s="1" t="s">
        <v>19</v>
      </c>
      <c r="G167" s="1">
        <v>472676863903.62</v>
      </c>
    </row>
    <row ht="13.8" outlineLevel="0" r="168">
      <c r="A168" s="1" t="s">
        <v>12</v>
      </c>
      <c r="B168" s="1" t="s">
        <v>8</v>
      </c>
      <c r="C168" s="1" t="s">
        <v>9</v>
      </c>
      <c r="D168" s="3">
        <v>43739</v>
      </c>
      <c r="E168" s="1" t="s">
        <v>14</v>
      </c>
      <c r="F168" s="1" t="s">
        <v>15</v>
      </c>
      <c r="G168" s="1">
        <v>627897787414.96</v>
      </c>
    </row>
    <row ht="13.8" outlineLevel="0" r="169">
      <c r="A169" s="1" t="s">
        <v>12</v>
      </c>
      <c r="B169" s="1" t="s">
        <v>8</v>
      </c>
      <c r="C169" s="1" t="s">
        <v>9</v>
      </c>
      <c r="D169" s="3">
        <v>43739</v>
      </c>
      <c r="E169" s="1" t="s">
        <v>10</v>
      </c>
      <c r="F169" s="1" t="s">
        <v>11</v>
      </c>
      <c r="G169" s="1">
        <v>634782575187</v>
      </c>
    </row>
    <row ht="13.8" outlineLevel="0" r="170">
      <c r="A170" s="1" t="s">
        <v>12</v>
      </c>
      <c r="B170" s="1" t="s">
        <v>8</v>
      </c>
      <c r="C170" s="1" t="s">
        <v>9</v>
      </c>
      <c r="D170" s="3">
        <v>43709</v>
      </c>
      <c r="E170" s="1" t="s">
        <v>14</v>
      </c>
      <c r="F170" s="1" t="s">
        <v>15</v>
      </c>
      <c r="G170" s="1">
        <v>626764560825.91</v>
      </c>
    </row>
    <row ht="13.8" outlineLevel="0" r="171">
      <c r="A171" s="1" t="s">
        <v>12</v>
      </c>
      <c r="B171" s="1" t="s">
        <v>8</v>
      </c>
      <c r="C171" s="1" t="s">
        <v>9</v>
      </c>
      <c r="D171" s="3">
        <v>43709</v>
      </c>
      <c r="E171" s="1" t="s">
        <v>16</v>
      </c>
      <c r="F171" s="1" t="s">
        <v>17</v>
      </c>
      <c r="G171" s="1">
        <v>460856781590.81</v>
      </c>
    </row>
    <row ht="13.8" outlineLevel="0" r="172">
      <c r="A172" s="1" t="s">
        <v>12</v>
      </c>
      <c r="B172" s="1" t="s">
        <v>8</v>
      </c>
      <c r="C172" s="1" t="s">
        <v>9</v>
      </c>
      <c r="D172" s="3">
        <v>43709</v>
      </c>
      <c r="E172" s="1" t="s">
        <v>18</v>
      </c>
      <c r="F172" s="1" t="s">
        <v>19</v>
      </c>
      <c r="G172" s="1">
        <v>424127046013.24</v>
      </c>
    </row>
    <row ht="13.8" outlineLevel="0" r="173">
      <c r="A173" s="1" t="s">
        <v>12</v>
      </c>
      <c r="B173" s="1" t="s">
        <v>8</v>
      </c>
      <c r="C173" s="1" t="s">
        <v>9</v>
      </c>
      <c r="D173" s="3">
        <v>43709</v>
      </c>
      <c r="E173" s="1" t="s">
        <v>10</v>
      </c>
      <c r="F173" s="1" t="s">
        <v>11</v>
      </c>
      <c r="G173" s="1">
        <v>638344870527</v>
      </c>
    </row>
    <row ht="13.8" outlineLevel="0" r="174">
      <c r="A174" s="1" t="s">
        <v>12</v>
      </c>
      <c r="B174" s="1" t="s">
        <v>8</v>
      </c>
      <c r="C174" s="1" t="s">
        <v>9</v>
      </c>
      <c r="D174" s="3">
        <v>43678</v>
      </c>
      <c r="E174" s="1" t="s">
        <v>16</v>
      </c>
      <c r="F174" s="1" t="s">
        <v>17</v>
      </c>
      <c r="G174" s="1">
        <v>412436945700.68</v>
      </c>
    </row>
    <row ht="13.8" outlineLevel="0" r="175">
      <c r="A175" s="1" t="s">
        <v>12</v>
      </c>
      <c r="B175" s="1" t="s">
        <v>8</v>
      </c>
      <c r="C175" s="1" t="s">
        <v>9</v>
      </c>
      <c r="D175" s="3">
        <v>43678</v>
      </c>
      <c r="E175" s="1" t="s">
        <v>10</v>
      </c>
      <c r="F175" s="1" t="s">
        <v>11</v>
      </c>
      <c r="G175" s="1">
        <v>637551932740</v>
      </c>
    </row>
    <row ht="13.8" outlineLevel="0" r="176">
      <c r="A176" s="1" t="s">
        <v>12</v>
      </c>
      <c r="B176" s="1" t="s">
        <v>8</v>
      </c>
      <c r="C176" s="1" t="s">
        <v>9</v>
      </c>
      <c r="D176" s="3">
        <v>43678</v>
      </c>
      <c r="E176" s="1" t="s">
        <v>14</v>
      </c>
      <c r="F176" s="1" t="s">
        <v>15</v>
      </c>
      <c r="G176" s="1">
        <v>628525349939.48</v>
      </c>
    </row>
    <row ht="13.8" outlineLevel="0" r="177">
      <c r="A177" s="1" t="s">
        <v>12</v>
      </c>
      <c r="B177" s="1" t="s">
        <v>8</v>
      </c>
      <c r="C177" s="1" t="s">
        <v>9</v>
      </c>
      <c r="D177" s="3">
        <v>43678</v>
      </c>
      <c r="E177" s="1" t="s">
        <v>18</v>
      </c>
      <c r="F177" s="1" t="s">
        <v>19</v>
      </c>
      <c r="G177" s="1">
        <v>358056761564.47</v>
      </c>
    </row>
    <row ht="13.8" outlineLevel="0" r="178">
      <c r="A178" s="1" t="s">
        <v>12</v>
      </c>
      <c r="B178" s="1" t="s">
        <v>8</v>
      </c>
      <c r="C178" s="1" t="s">
        <v>9</v>
      </c>
      <c r="D178" s="3">
        <v>43647</v>
      </c>
      <c r="E178" s="1" t="s">
        <v>14</v>
      </c>
      <c r="F178" s="1" t="s">
        <v>15</v>
      </c>
      <c r="G178" s="1">
        <v>627039074718.93</v>
      </c>
    </row>
    <row ht="13.8" outlineLevel="0" r="179">
      <c r="A179" s="1" t="s">
        <v>12</v>
      </c>
      <c r="B179" s="1" t="s">
        <v>8</v>
      </c>
      <c r="C179" s="1" t="s">
        <v>9</v>
      </c>
      <c r="D179" s="3">
        <v>43647</v>
      </c>
      <c r="E179" s="1" t="s">
        <v>10</v>
      </c>
      <c r="F179" s="1" t="s">
        <v>11</v>
      </c>
      <c r="G179" s="1">
        <v>637551932740</v>
      </c>
    </row>
    <row ht="13.8" outlineLevel="0" r="180">
      <c r="A180" s="1" t="s">
        <v>12</v>
      </c>
      <c r="B180" s="1" t="s">
        <v>8</v>
      </c>
      <c r="C180" s="1" t="s">
        <v>9</v>
      </c>
      <c r="D180" s="3">
        <v>43647</v>
      </c>
      <c r="E180" s="1" t="s">
        <v>16</v>
      </c>
      <c r="F180" s="1" t="s">
        <v>17</v>
      </c>
      <c r="G180" s="1">
        <v>340935595082.64</v>
      </c>
    </row>
    <row ht="13.8" outlineLevel="0" r="181">
      <c r="A181" s="1" t="s">
        <v>12</v>
      </c>
      <c r="B181" s="1" t="s">
        <v>8</v>
      </c>
      <c r="C181" s="1" t="s">
        <v>9</v>
      </c>
      <c r="D181" s="3">
        <v>43647</v>
      </c>
      <c r="E181" s="1" t="s">
        <v>18</v>
      </c>
      <c r="F181" s="1" t="s">
        <v>19</v>
      </c>
      <c r="G181" s="1">
        <v>304471474362.12</v>
      </c>
    </row>
    <row ht="13.8" outlineLevel="0" r="182">
      <c r="A182" s="1" t="s">
        <v>12</v>
      </c>
      <c r="B182" s="1" t="s">
        <v>8</v>
      </c>
      <c r="C182" s="1" t="s">
        <v>9</v>
      </c>
      <c r="D182" s="3">
        <v>43617</v>
      </c>
      <c r="E182" s="1" t="s">
        <v>18</v>
      </c>
      <c r="F182" s="1" t="s">
        <v>19</v>
      </c>
      <c r="G182" s="1">
        <v>256207125786.37</v>
      </c>
    </row>
    <row ht="13.8" outlineLevel="0" r="183">
      <c r="A183" s="1" t="s">
        <v>12</v>
      </c>
      <c r="B183" s="1" t="s">
        <v>8</v>
      </c>
      <c r="C183" s="1" t="s">
        <v>9</v>
      </c>
      <c r="D183" s="3">
        <v>43617</v>
      </c>
      <c r="E183" s="1" t="s">
        <v>16</v>
      </c>
      <c r="F183" s="1" t="s">
        <v>17</v>
      </c>
      <c r="G183" s="1">
        <v>292534784387.28</v>
      </c>
    </row>
    <row ht="13.8" outlineLevel="0" r="184">
      <c r="A184" s="1" t="s">
        <v>12</v>
      </c>
      <c r="B184" s="1" t="s">
        <v>8</v>
      </c>
      <c r="C184" s="1" t="s">
        <v>9</v>
      </c>
      <c r="D184" s="3">
        <v>43617</v>
      </c>
      <c r="E184" s="1" t="s">
        <v>14</v>
      </c>
      <c r="F184" s="1" t="s">
        <v>15</v>
      </c>
      <c r="G184" s="1">
        <v>625806070519.34</v>
      </c>
    </row>
    <row ht="13.8" outlineLevel="0" r="185">
      <c r="A185" s="1" t="s">
        <v>12</v>
      </c>
      <c r="B185" s="1" t="s">
        <v>8</v>
      </c>
      <c r="C185" s="1" t="s">
        <v>9</v>
      </c>
      <c r="D185" s="3">
        <v>43617</v>
      </c>
      <c r="E185" s="1" t="s">
        <v>10</v>
      </c>
      <c r="F185" s="1" t="s">
        <v>11</v>
      </c>
      <c r="G185" s="1">
        <v>637551932740</v>
      </c>
    </row>
    <row ht="13.8" outlineLevel="0" r="186">
      <c r="A186" s="1" t="s">
        <v>12</v>
      </c>
      <c r="B186" s="1" t="s">
        <v>8</v>
      </c>
      <c r="C186" s="1" t="s">
        <v>9</v>
      </c>
      <c r="D186" s="3">
        <v>43586</v>
      </c>
      <c r="E186" s="1" t="s">
        <v>10</v>
      </c>
      <c r="F186" s="1" t="s">
        <v>11</v>
      </c>
      <c r="G186" s="1">
        <v>435846669561</v>
      </c>
    </row>
    <row ht="13.8" outlineLevel="0" r="187">
      <c r="A187" s="1" t="s">
        <v>12</v>
      </c>
      <c r="B187" s="1" t="s">
        <v>8</v>
      </c>
      <c r="C187" s="1" t="s">
        <v>9</v>
      </c>
      <c r="D187" s="3">
        <v>43586</v>
      </c>
      <c r="E187" s="1" t="s">
        <v>18</v>
      </c>
      <c r="F187" s="1" t="s">
        <v>19</v>
      </c>
      <c r="G187" s="1">
        <v>208476920179.82</v>
      </c>
    </row>
    <row ht="13.8" outlineLevel="0" r="188">
      <c r="A188" s="1" t="s">
        <v>12</v>
      </c>
      <c r="B188" s="1" t="s">
        <v>8</v>
      </c>
      <c r="C188" s="1" t="s">
        <v>9</v>
      </c>
      <c r="D188" s="3">
        <v>43586</v>
      </c>
      <c r="E188" s="1" t="s">
        <v>16</v>
      </c>
      <c r="F188" s="1" t="s">
        <v>17</v>
      </c>
      <c r="G188" s="1">
        <v>244603309116.2</v>
      </c>
    </row>
    <row ht="13.8" outlineLevel="0" r="189">
      <c r="A189" s="1" t="s">
        <v>12</v>
      </c>
      <c r="B189" s="1" t="s">
        <v>8</v>
      </c>
      <c r="C189" s="1" t="s">
        <v>9</v>
      </c>
      <c r="D189" s="3">
        <v>43586</v>
      </c>
      <c r="E189" s="1" t="s">
        <v>14</v>
      </c>
      <c r="F189" s="1" t="s">
        <v>15</v>
      </c>
      <c r="G189" s="1">
        <v>365882964000.09</v>
      </c>
    </row>
    <row ht="13.8" outlineLevel="0" r="190">
      <c r="A190" s="1" t="s">
        <v>12</v>
      </c>
      <c r="B190" s="1" t="s">
        <v>8</v>
      </c>
      <c r="C190" s="1" t="s">
        <v>9</v>
      </c>
      <c r="D190" s="3">
        <v>43556</v>
      </c>
      <c r="E190" s="1" t="s">
        <v>10</v>
      </c>
      <c r="F190" s="1" t="s">
        <v>11</v>
      </c>
      <c r="G190" s="1">
        <v>435846669561</v>
      </c>
    </row>
    <row ht="13.8" outlineLevel="0" r="191">
      <c r="A191" s="1" t="s">
        <v>12</v>
      </c>
      <c r="B191" s="1" t="s">
        <v>8</v>
      </c>
      <c r="C191" s="1" t="s">
        <v>9</v>
      </c>
      <c r="D191" s="3">
        <v>43556</v>
      </c>
      <c r="E191" s="1" t="s">
        <v>18</v>
      </c>
      <c r="F191" s="1" t="s">
        <v>19</v>
      </c>
      <c r="G191" s="1">
        <v>160874186613.27</v>
      </c>
    </row>
    <row ht="13.8" outlineLevel="0" r="192">
      <c r="A192" s="1" t="s">
        <v>12</v>
      </c>
      <c r="B192" s="1" t="s">
        <v>8</v>
      </c>
      <c r="C192" s="1" t="s">
        <v>9</v>
      </c>
      <c r="D192" s="3">
        <v>43556</v>
      </c>
      <c r="E192" s="1" t="s">
        <v>14</v>
      </c>
      <c r="F192" s="1" t="s">
        <v>15</v>
      </c>
      <c r="G192" s="1">
        <v>359886927866.58</v>
      </c>
    </row>
    <row ht="13.8" outlineLevel="0" r="193">
      <c r="A193" s="1" t="s">
        <v>12</v>
      </c>
      <c r="B193" s="1" t="s">
        <v>8</v>
      </c>
      <c r="C193" s="1" t="s">
        <v>9</v>
      </c>
      <c r="D193" s="3">
        <v>43556</v>
      </c>
      <c r="E193" s="1" t="s">
        <v>16</v>
      </c>
      <c r="F193" s="1" t="s">
        <v>17</v>
      </c>
      <c r="G193" s="1">
        <v>196885907825.48</v>
      </c>
    </row>
    <row ht="13.8" outlineLevel="0" r="194">
      <c r="A194" s="1" t="s">
        <v>12</v>
      </c>
      <c r="B194" s="1" t="s">
        <v>8</v>
      </c>
      <c r="C194" s="1" t="s">
        <v>9</v>
      </c>
      <c r="D194" s="3">
        <v>43525</v>
      </c>
      <c r="E194" s="1" t="s">
        <v>14</v>
      </c>
      <c r="F194" s="1" t="s">
        <v>15</v>
      </c>
      <c r="G194" s="1">
        <v>312988428945.08</v>
      </c>
    </row>
    <row ht="13.8" outlineLevel="0" r="195">
      <c r="A195" s="1" t="s">
        <v>12</v>
      </c>
      <c r="B195" s="1" t="s">
        <v>8</v>
      </c>
      <c r="C195" s="1" t="s">
        <v>9</v>
      </c>
      <c r="D195" s="3">
        <v>43525</v>
      </c>
      <c r="E195" s="1" t="s">
        <v>18</v>
      </c>
      <c r="F195" s="1" t="s">
        <v>19</v>
      </c>
      <c r="G195" s="1">
        <v>113214184621.17</v>
      </c>
    </row>
    <row ht="13.8" outlineLevel="0" r="196">
      <c r="A196" s="1" t="s">
        <v>12</v>
      </c>
      <c r="B196" s="1" t="s">
        <v>8</v>
      </c>
      <c r="C196" s="1" t="s">
        <v>9</v>
      </c>
      <c r="D196" s="3">
        <v>43525</v>
      </c>
      <c r="E196" s="1" t="s">
        <v>16</v>
      </c>
      <c r="F196" s="1" t="s">
        <v>17</v>
      </c>
      <c r="G196" s="1">
        <v>149027023215.57</v>
      </c>
    </row>
    <row ht="13.8" outlineLevel="0" r="197">
      <c r="A197" s="1" t="s">
        <v>12</v>
      </c>
      <c r="B197" s="1" t="s">
        <v>8</v>
      </c>
      <c r="C197" s="1" t="s">
        <v>9</v>
      </c>
      <c r="D197" s="3">
        <v>43525</v>
      </c>
      <c r="E197" s="1" t="s">
        <v>10</v>
      </c>
      <c r="F197" s="1" t="s">
        <v>11</v>
      </c>
      <c r="G197" s="1">
        <v>436146669561</v>
      </c>
    </row>
    <row ht="13.8" outlineLevel="0" r="198">
      <c r="A198" s="1" t="s">
        <v>12</v>
      </c>
      <c r="B198" s="1" t="s">
        <v>8</v>
      </c>
      <c r="C198" s="1" t="s">
        <v>9</v>
      </c>
      <c r="D198" s="3">
        <v>43497</v>
      </c>
      <c r="E198" s="1" t="s">
        <v>10</v>
      </c>
      <c r="F198" s="1" t="s">
        <v>11</v>
      </c>
      <c r="G198" s="1">
        <v>436146669561</v>
      </c>
    </row>
    <row ht="13.8" outlineLevel="0" r="199">
      <c r="A199" s="1" t="s">
        <v>12</v>
      </c>
      <c r="B199" s="1" t="s">
        <v>8</v>
      </c>
      <c r="C199" s="1" t="s">
        <v>9</v>
      </c>
      <c r="D199" s="3">
        <v>43497</v>
      </c>
      <c r="E199" s="1" t="s">
        <v>16</v>
      </c>
      <c r="F199" s="1" t="s">
        <v>17</v>
      </c>
      <c r="G199" s="1">
        <v>95812499599.09</v>
      </c>
    </row>
    <row ht="13.8" outlineLevel="0" r="200">
      <c r="A200" s="1" t="s">
        <v>12</v>
      </c>
      <c r="B200" s="1" t="s">
        <v>8</v>
      </c>
      <c r="C200" s="1" t="s">
        <v>9</v>
      </c>
      <c r="D200" s="3">
        <v>43497</v>
      </c>
      <c r="E200" s="1" t="s">
        <v>18</v>
      </c>
      <c r="F200" s="1" t="s">
        <v>19</v>
      </c>
      <c r="G200" s="1">
        <v>59426846926.69</v>
      </c>
    </row>
    <row ht="13.8" outlineLevel="0" r="201">
      <c r="A201" s="1" t="s">
        <v>12</v>
      </c>
      <c r="B201" s="1" t="s">
        <v>8</v>
      </c>
      <c r="C201" s="1" t="s">
        <v>9</v>
      </c>
      <c r="D201" s="3">
        <v>43497</v>
      </c>
      <c r="E201" s="1" t="s">
        <v>14</v>
      </c>
      <c r="F201" s="1" t="s">
        <v>15</v>
      </c>
      <c r="G201" s="1">
        <v>108582764353.31</v>
      </c>
    </row>
    <row ht="13.8" outlineLevel="0" r="202">
      <c r="A202" s="1" t="s">
        <v>12</v>
      </c>
      <c r="B202" s="1" t="s">
        <v>8</v>
      </c>
      <c r="C202" s="1" t="s">
        <v>9</v>
      </c>
      <c r="D202" s="3">
        <v>43466</v>
      </c>
      <c r="E202" s="1" t="s">
        <v>10</v>
      </c>
      <c r="F202" s="1" t="s">
        <v>11</v>
      </c>
      <c r="G202" s="1">
        <v>436146669561</v>
      </c>
    </row>
    <row ht="13.8" outlineLevel="0" r="203">
      <c r="A203" s="1" t="s">
        <v>12</v>
      </c>
      <c r="B203" s="1" t="s">
        <v>8</v>
      </c>
      <c r="C203" s="1" t="s">
        <v>9</v>
      </c>
      <c r="D203" s="3">
        <v>43466</v>
      </c>
      <c r="E203" s="1" t="s">
        <v>14</v>
      </c>
      <c r="F203" s="1" t="s">
        <v>15</v>
      </c>
      <c r="G203" s="1">
        <v>404599988465.56</v>
      </c>
    </row>
    <row ht="13.8" outlineLevel="0" r="204">
      <c r="A204" s="1" t="s">
        <v>12</v>
      </c>
      <c r="B204" s="1" t="s">
        <v>8</v>
      </c>
      <c r="C204" s="1" t="s">
        <v>9</v>
      </c>
      <c r="D204" s="3">
        <v>43466</v>
      </c>
      <c r="E204" s="1" t="s">
        <v>16</v>
      </c>
      <c r="F204" s="1" t="s">
        <v>17</v>
      </c>
      <c r="G204" s="1">
        <v>48414067089.66</v>
      </c>
    </row>
    <row ht="13.8" outlineLevel="0" r="205">
      <c r="A205" s="1" t="s">
        <v>12</v>
      </c>
      <c r="B205" s="1" t="s">
        <v>8</v>
      </c>
      <c r="C205" s="1" t="s">
        <v>9</v>
      </c>
      <c r="D205" s="3">
        <v>43466</v>
      </c>
      <c r="E205" s="1" t="s">
        <v>18</v>
      </c>
      <c r="F205" s="1" t="s">
        <v>19</v>
      </c>
      <c r="G205" s="1">
        <v>12681399709.07</v>
      </c>
    </row>
    <row ht="13.8" outlineLevel="0" r="206">
      <c r="A206" s="1" t="s">
        <v>13</v>
      </c>
      <c r="B206" s="1" t="s">
        <v>8</v>
      </c>
      <c r="C206" s="1" t="s">
        <v>9</v>
      </c>
      <c r="D206" s="3">
        <v>44197</v>
      </c>
      <c r="E206" s="1" t="s">
        <v>10</v>
      </c>
      <c r="F206" s="1" t="s">
        <v>11</v>
      </c>
      <c r="G206" s="1">
        <v>258097211662.89</v>
      </c>
    </row>
    <row ht="13.8" outlineLevel="0" r="207">
      <c r="A207" s="1" t="s">
        <v>13</v>
      </c>
      <c r="B207" s="1" t="s">
        <v>8</v>
      </c>
      <c r="C207" s="1" t="s">
        <v>9</v>
      </c>
      <c r="D207" s="3">
        <v>44197</v>
      </c>
      <c r="E207" s="1" t="s">
        <v>18</v>
      </c>
      <c r="F207" s="1" t="s">
        <v>19</v>
      </c>
      <c r="G207" s="1">
        <v>12999160439.391</v>
      </c>
    </row>
    <row ht="13.8" outlineLevel="0" r="208">
      <c r="A208" s="1" t="s">
        <v>13</v>
      </c>
      <c r="B208" s="1" t="s">
        <v>8</v>
      </c>
      <c r="C208" s="1" t="s">
        <v>9</v>
      </c>
      <c r="D208" s="3">
        <v>44197</v>
      </c>
      <c r="E208" s="1" t="s">
        <v>16</v>
      </c>
      <c r="F208" s="1" t="s">
        <v>17</v>
      </c>
      <c r="G208" s="1">
        <v>16705316228.6798</v>
      </c>
    </row>
    <row ht="13.8" outlineLevel="0" r="209">
      <c r="A209" s="1" t="s">
        <v>13</v>
      </c>
      <c r="B209" s="1" t="s">
        <v>8</v>
      </c>
      <c r="C209" s="1" t="s">
        <v>9</v>
      </c>
      <c r="D209" s="3">
        <v>44197</v>
      </c>
      <c r="E209" s="1" t="s">
        <v>14</v>
      </c>
      <c r="F209" s="1" t="s">
        <v>15</v>
      </c>
      <c r="G209" s="1">
        <v>102962673254.5</v>
      </c>
    </row>
    <row ht="13.8" outlineLevel="0" r="210">
      <c r="A210" s="1" t="s">
        <v>13</v>
      </c>
      <c r="B210" s="1" t="s">
        <v>8</v>
      </c>
      <c r="C210" s="1" t="s">
        <v>9</v>
      </c>
      <c r="D210" s="3">
        <v>44166</v>
      </c>
      <c r="E210" s="1" t="s">
        <v>10</v>
      </c>
      <c r="F210" s="1" t="s">
        <v>11</v>
      </c>
      <c r="G210" s="1">
        <v>714070991790.32</v>
      </c>
    </row>
    <row ht="13.8" outlineLevel="0" r="211">
      <c r="A211" s="1" t="s">
        <v>13</v>
      </c>
      <c r="B211" s="1" t="s">
        <v>8</v>
      </c>
      <c r="C211" s="1" t="s">
        <v>9</v>
      </c>
      <c r="D211" s="3">
        <v>44166</v>
      </c>
      <c r="E211" s="1" t="s">
        <v>18</v>
      </c>
      <c r="F211" s="1" t="s">
        <v>19</v>
      </c>
      <c r="G211" s="1">
        <v>599472652981.63</v>
      </c>
    </row>
    <row ht="13.8" outlineLevel="0" r="212">
      <c r="A212" s="1" t="s">
        <v>13</v>
      </c>
      <c r="B212" s="1" t="s">
        <v>8</v>
      </c>
      <c r="C212" s="1" t="s">
        <v>9</v>
      </c>
      <c r="D212" s="3">
        <v>44166</v>
      </c>
      <c r="E212" s="1" t="s">
        <v>20</v>
      </c>
      <c r="F212" s="1" t="s">
        <v>21</v>
      </c>
      <c r="G212" s="1">
        <v>38456361756.714</v>
      </c>
    </row>
    <row ht="13.8" outlineLevel="0" r="213">
      <c r="A213" s="1" t="s">
        <v>13</v>
      </c>
      <c r="B213" s="1" t="s">
        <v>8</v>
      </c>
      <c r="C213" s="1" t="s">
        <v>9</v>
      </c>
      <c r="D213" s="3">
        <v>44166</v>
      </c>
      <c r="E213" s="1" t="s">
        <v>14</v>
      </c>
      <c r="F213" s="1" t="s">
        <v>15</v>
      </c>
      <c r="G213" s="1">
        <v>642513689060.967</v>
      </c>
    </row>
    <row ht="13.8" outlineLevel="0" r="214">
      <c r="A214" s="1" t="s">
        <v>13</v>
      </c>
      <c r="B214" s="1" t="s">
        <v>8</v>
      </c>
      <c r="C214" s="1" t="s">
        <v>9</v>
      </c>
      <c r="D214" s="3">
        <v>44166</v>
      </c>
      <c r="E214" s="1" t="s">
        <v>16</v>
      </c>
      <c r="F214" s="1" t="s">
        <v>17</v>
      </c>
      <c r="G214" s="1">
        <v>604057327304.253</v>
      </c>
    </row>
    <row ht="13.8" outlineLevel="0" r="215">
      <c r="A215" s="1" t="s">
        <v>13</v>
      </c>
      <c r="B215" s="1" t="s">
        <v>8</v>
      </c>
      <c r="C215" s="1" t="s">
        <v>9</v>
      </c>
      <c r="D215" s="3">
        <v>44136</v>
      </c>
      <c r="E215" s="1" t="s">
        <v>18</v>
      </c>
      <c r="F215" s="1" t="s">
        <v>19</v>
      </c>
      <c r="G215" s="1">
        <v>548942589377.946</v>
      </c>
    </row>
    <row ht="13.8" outlineLevel="0" r="216">
      <c r="A216" s="1" t="s">
        <v>13</v>
      </c>
      <c r="B216" s="1" t="s">
        <v>8</v>
      </c>
      <c r="C216" s="1" t="s">
        <v>9</v>
      </c>
      <c r="D216" s="3">
        <v>44136</v>
      </c>
      <c r="E216" s="1" t="s">
        <v>16</v>
      </c>
      <c r="F216" s="1" t="s">
        <v>17</v>
      </c>
      <c r="G216" s="1">
        <v>555101915673.981</v>
      </c>
    </row>
    <row ht="13.8" outlineLevel="0" r="217">
      <c r="A217" s="1" t="s">
        <v>13</v>
      </c>
      <c r="B217" s="1" t="s">
        <v>8</v>
      </c>
      <c r="C217" s="1" t="s">
        <v>9</v>
      </c>
      <c r="D217" s="3">
        <v>44136</v>
      </c>
      <c r="E217" s="1" t="s">
        <v>10</v>
      </c>
      <c r="F217" s="1" t="s">
        <v>11</v>
      </c>
      <c r="G217" s="1">
        <v>706830506293.92</v>
      </c>
    </row>
    <row ht="13.8" outlineLevel="0" r="218">
      <c r="A218" s="1" t="s">
        <v>13</v>
      </c>
      <c r="B218" s="1" t="s">
        <v>8</v>
      </c>
      <c r="C218" s="1" t="s">
        <v>9</v>
      </c>
      <c r="D218" s="3">
        <v>44136</v>
      </c>
      <c r="E218" s="1" t="s">
        <v>14</v>
      </c>
      <c r="F218" s="1" t="s">
        <v>15</v>
      </c>
      <c r="G218" s="1">
        <v>662865836414.711</v>
      </c>
    </row>
    <row ht="13.8" outlineLevel="0" r="219">
      <c r="A219" s="1" t="s">
        <v>13</v>
      </c>
      <c r="B219" s="1" t="s">
        <v>8</v>
      </c>
      <c r="C219" s="1" t="s">
        <v>9</v>
      </c>
      <c r="D219" s="3">
        <v>44105</v>
      </c>
      <c r="E219" s="1" t="s">
        <v>18</v>
      </c>
      <c r="F219" s="1" t="s">
        <v>19</v>
      </c>
      <c r="G219" s="1">
        <v>507071352759.974</v>
      </c>
    </row>
    <row ht="13.8" outlineLevel="0" r="220">
      <c r="A220" s="1" t="s">
        <v>13</v>
      </c>
      <c r="B220" s="1" t="s">
        <v>8</v>
      </c>
      <c r="C220" s="1" t="s">
        <v>9</v>
      </c>
      <c r="D220" s="3">
        <v>44105</v>
      </c>
      <c r="E220" s="1" t="s">
        <v>14</v>
      </c>
      <c r="F220" s="1" t="s">
        <v>15</v>
      </c>
      <c r="G220" s="1">
        <v>664818164004.445</v>
      </c>
    </row>
    <row ht="13.8" outlineLevel="0" r="221">
      <c r="A221" s="1" t="s">
        <v>13</v>
      </c>
      <c r="B221" s="1" t="s">
        <v>8</v>
      </c>
      <c r="C221" s="1" t="s">
        <v>9</v>
      </c>
      <c r="D221" s="3">
        <v>44105</v>
      </c>
      <c r="E221" s="1" t="s">
        <v>16</v>
      </c>
      <c r="F221" s="1" t="s">
        <v>17</v>
      </c>
      <c r="G221" s="1">
        <v>512580996662.045</v>
      </c>
    </row>
    <row ht="13.8" outlineLevel="0" r="222">
      <c r="A222" s="1" t="s">
        <v>13</v>
      </c>
      <c r="B222" s="1" t="s">
        <v>8</v>
      </c>
      <c r="C222" s="1" t="s">
        <v>9</v>
      </c>
      <c r="D222" s="3">
        <v>44105</v>
      </c>
      <c r="E222" s="1" t="s">
        <v>10</v>
      </c>
      <c r="F222" s="1" t="s">
        <v>11</v>
      </c>
      <c r="G222" s="1">
        <v>708916316081.27</v>
      </c>
    </row>
    <row ht="13.8" outlineLevel="0" r="223">
      <c r="A223" s="1" t="s">
        <v>13</v>
      </c>
      <c r="B223" s="1" t="s">
        <v>8</v>
      </c>
      <c r="C223" s="1" t="s">
        <v>9</v>
      </c>
      <c r="D223" s="3">
        <v>44075</v>
      </c>
      <c r="E223" s="1" t="s">
        <v>18</v>
      </c>
      <c r="F223" s="1" t="s">
        <v>19</v>
      </c>
      <c r="G223" s="1">
        <v>460562458424.365</v>
      </c>
    </row>
    <row ht="13.8" outlineLevel="0" r="224">
      <c r="A224" s="1" t="s">
        <v>13</v>
      </c>
      <c r="B224" s="1" t="s">
        <v>8</v>
      </c>
      <c r="C224" s="1" t="s">
        <v>9</v>
      </c>
      <c r="D224" s="3">
        <v>44075</v>
      </c>
      <c r="E224" s="1" t="s">
        <v>16</v>
      </c>
      <c r="F224" s="1" t="s">
        <v>17</v>
      </c>
      <c r="G224" s="1">
        <v>466208800506.73</v>
      </c>
    </row>
    <row ht="13.8" outlineLevel="0" r="225">
      <c r="A225" s="1" t="s">
        <v>13</v>
      </c>
      <c r="B225" s="1" t="s">
        <v>8</v>
      </c>
      <c r="C225" s="1" t="s">
        <v>9</v>
      </c>
      <c r="D225" s="3">
        <v>44075</v>
      </c>
      <c r="E225" s="1" t="s">
        <v>14</v>
      </c>
      <c r="F225" s="1" t="s">
        <v>15</v>
      </c>
      <c r="G225" s="1">
        <v>604088107035.085</v>
      </c>
    </row>
    <row ht="13.8" outlineLevel="0" r="226">
      <c r="A226" s="1" t="s">
        <v>13</v>
      </c>
      <c r="B226" s="1" t="s">
        <v>8</v>
      </c>
      <c r="C226" s="1" t="s">
        <v>9</v>
      </c>
      <c r="D226" s="3">
        <v>44075</v>
      </c>
      <c r="E226" s="1" t="s">
        <v>10</v>
      </c>
      <c r="F226" s="1" t="s">
        <v>11</v>
      </c>
      <c r="G226" s="1">
        <v>708786254225.81</v>
      </c>
    </row>
    <row ht="13.8" outlineLevel="0" r="227">
      <c r="A227" s="1" t="s">
        <v>13</v>
      </c>
      <c r="B227" s="1" t="s">
        <v>8</v>
      </c>
      <c r="C227" s="1" t="s">
        <v>9</v>
      </c>
      <c r="D227" s="3">
        <v>44044</v>
      </c>
      <c r="E227" s="1" t="s">
        <v>10</v>
      </c>
      <c r="F227" s="1" t="s">
        <v>11</v>
      </c>
      <c r="G227" s="1">
        <v>638949241947.48</v>
      </c>
    </row>
    <row ht="13.8" outlineLevel="0" r="228">
      <c r="A228" s="1" t="s">
        <v>13</v>
      </c>
      <c r="B228" s="1" t="s">
        <v>8</v>
      </c>
      <c r="C228" s="1" t="s">
        <v>9</v>
      </c>
      <c r="D228" s="3">
        <v>44044</v>
      </c>
      <c r="E228" s="1" t="s">
        <v>16</v>
      </c>
      <c r="F228" s="1" t="s">
        <v>17</v>
      </c>
      <c r="G228" s="1">
        <v>413417795233.929</v>
      </c>
    </row>
    <row ht="13.8" outlineLevel="0" r="229">
      <c r="A229" s="1" t="s">
        <v>13</v>
      </c>
      <c r="B229" s="1" t="s">
        <v>8</v>
      </c>
      <c r="C229" s="1" t="s">
        <v>9</v>
      </c>
      <c r="D229" s="3">
        <v>44044</v>
      </c>
      <c r="E229" s="1" t="s">
        <v>18</v>
      </c>
      <c r="F229" s="1" t="s">
        <v>19</v>
      </c>
      <c r="G229" s="1">
        <v>408155179645.785</v>
      </c>
    </row>
    <row ht="13.8" outlineLevel="0" r="230">
      <c r="A230" s="1" t="s">
        <v>13</v>
      </c>
      <c r="B230" s="1" t="s">
        <v>8</v>
      </c>
      <c r="C230" s="1" t="s">
        <v>9</v>
      </c>
      <c r="D230" s="3">
        <v>44044</v>
      </c>
      <c r="E230" s="1" t="s">
        <v>14</v>
      </c>
      <c r="F230" s="1" t="s">
        <v>15</v>
      </c>
      <c r="G230" s="1">
        <v>557844215686.794</v>
      </c>
    </row>
    <row ht="13.8" outlineLevel="0" r="231">
      <c r="A231" s="1" t="s">
        <v>13</v>
      </c>
      <c r="B231" s="1" t="s">
        <v>8</v>
      </c>
      <c r="C231" s="1" t="s">
        <v>9</v>
      </c>
      <c r="D231" s="3">
        <v>44013</v>
      </c>
      <c r="E231" s="1" t="s">
        <v>10</v>
      </c>
      <c r="F231" s="1" t="s">
        <v>11</v>
      </c>
      <c r="G231" s="1">
        <v>636912414313.17</v>
      </c>
    </row>
    <row ht="13.8" outlineLevel="0" r="232">
      <c r="A232" s="1" t="s">
        <v>13</v>
      </c>
      <c r="B232" s="1" t="s">
        <v>8</v>
      </c>
      <c r="C232" s="1" t="s">
        <v>9</v>
      </c>
      <c r="D232" s="3">
        <v>44013</v>
      </c>
      <c r="E232" s="1" t="s">
        <v>14</v>
      </c>
      <c r="F232" s="1" t="s">
        <v>15</v>
      </c>
      <c r="G232" s="1">
        <v>517144707931.298</v>
      </c>
    </row>
    <row ht="13.8" outlineLevel="0" r="233">
      <c r="A233" s="1" t="s">
        <v>13</v>
      </c>
      <c r="B233" s="1" t="s">
        <v>8</v>
      </c>
      <c r="C233" s="1" t="s">
        <v>9</v>
      </c>
      <c r="D233" s="3">
        <v>44013</v>
      </c>
      <c r="E233" s="1" t="s">
        <v>18</v>
      </c>
      <c r="F233" s="1" t="s">
        <v>19</v>
      </c>
      <c r="G233" s="1">
        <v>340642296595.729</v>
      </c>
    </row>
    <row ht="13.8" outlineLevel="0" r="234">
      <c r="A234" s="1" t="s">
        <v>13</v>
      </c>
      <c r="B234" s="1" t="s">
        <v>8</v>
      </c>
      <c r="C234" s="1" t="s">
        <v>9</v>
      </c>
      <c r="D234" s="3">
        <v>44013</v>
      </c>
      <c r="E234" s="1" t="s">
        <v>16</v>
      </c>
      <c r="F234" s="1" t="s">
        <v>17</v>
      </c>
      <c r="G234" s="1">
        <v>345981626140.027</v>
      </c>
    </row>
    <row ht="13.8" outlineLevel="0" r="235">
      <c r="A235" s="1" t="s">
        <v>13</v>
      </c>
      <c r="B235" s="1" t="s">
        <v>8</v>
      </c>
      <c r="C235" s="1" t="s">
        <v>9</v>
      </c>
      <c r="D235" s="3">
        <v>43983</v>
      </c>
      <c r="E235" s="1" t="s">
        <v>14</v>
      </c>
      <c r="F235" s="1" t="s">
        <v>15</v>
      </c>
      <c r="G235" s="1">
        <v>406527193761.651</v>
      </c>
    </row>
    <row ht="13.8" outlineLevel="0" r="236">
      <c r="A236" s="1" t="s">
        <v>13</v>
      </c>
      <c r="B236" s="1" t="s">
        <v>8</v>
      </c>
      <c r="C236" s="1" t="s">
        <v>9</v>
      </c>
      <c r="D236" s="3">
        <v>43983</v>
      </c>
      <c r="E236" s="1" t="s">
        <v>10</v>
      </c>
      <c r="F236" s="1" t="s">
        <v>11</v>
      </c>
      <c r="G236" s="1">
        <v>537797646578.83</v>
      </c>
    </row>
    <row ht="13.8" outlineLevel="0" r="237">
      <c r="A237" s="1" t="s">
        <v>13</v>
      </c>
      <c r="B237" s="1" t="s">
        <v>8</v>
      </c>
      <c r="C237" s="1" t="s">
        <v>9</v>
      </c>
      <c r="D237" s="3">
        <v>43983</v>
      </c>
      <c r="E237" s="1" t="s">
        <v>16</v>
      </c>
      <c r="F237" s="1" t="s">
        <v>17</v>
      </c>
      <c r="G237" s="1">
        <v>274556337889.662</v>
      </c>
    </row>
    <row ht="13.8" outlineLevel="0" r="238">
      <c r="A238" s="1" t="s">
        <v>13</v>
      </c>
      <c r="B238" s="1" t="s">
        <v>8</v>
      </c>
      <c r="C238" s="1" t="s">
        <v>9</v>
      </c>
      <c r="D238" s="3">
        <v>43983</v>
      </c>
      <c r="E238" s="1" t="s">
        <v>18</v>
      </c>
      <c r="F238" s="1" t="s">
        <v>19</v>
      </c>
      <c r="G238" s="1">
        <v>269378621067.433</v>
      </c>
    </row>
    <row ht="13.8" outlineLevel="0" r="239">
      <c r="A239" s="1" t="s">
        <v>13</v>
      </c>
      <c r="B239" s="1" t="s">
        <v>8</v>
      </c>
      <c r="C239" s="1" t="s">
        <v>9</v>
      </c>
      <c r="D239" s="3">
        <v>43952</v>
      </c>
      <c r="E239" s="1" t="s">
        <v>16</v>
      </c>
      <c r="F239" s="1" t="s">
        <v>17</v>
      </c>
      <c r="G239" s="1">
        <v>180226509793.168</v>
      </c>
    </row>
    <row ht="13.8" outlineLevel="0" r="240">
      <c r="A240" s="1" t="s">
        <v>13</v>
      </c>
      <c r="B240" s="1" t="s">
        <v>8</v>
      </c>
      <c r="C240" s="1" t="s">
        <v>9</v>
      </c>
      <c r="D240" s="3">
        <v>43952</v>
      </c>
      <c r="E240" s="1" t="s">
        <v>14</v>
      </c>
      <c r="F240" s="1" t="s">
        <v>15</v>
      </c>
      <c r="G240" s="1">
        <v>310945109773.515</v>
      </c>
    </row>
    <row ht="13.8" outlineLevel="0" r="241">
      <c r="A241" s="1" t="s">
        <v>13</v>
      </c>
      <c r="B241" s="1" t="s">
        <v>8</v>
      </c>
      <c r="C241" s="1" t="s">
        <v>9</v>
      </c>
      <c r="D241" s="3">
        <v>43952</v>
      </c>
      <c r="E241" s="1" t="s">
        <v>10</v>
      </c>
      <c r="F241" s="1" t="s">
        <v>11</v>
      </c>
      <c r="G241" s="1">
        <v>751804339074.21</v>
      </c>
    </row>
    <row ht="13.8" outlineLevel="0" r="242">
      <c r="A242" s="1" t="s">
        <v>13</v>
      </c>
      <c r="B242" s="1" t="s">
        <v>8</v>
      </c>
      <c r="C242" s="1" t="s">
        <v>9</v>
      </c>
      <c r="D242" s="3">
        <v>43952</v>
      </c>
      <c r="E242" s="1" t="s">
        <v>18</v>
      </c>
      <c r="F242" s="1" t="s">
        <v>19</v>
      </c>
      <c r="G242" s="1">
        <v>173832029088.059</v>
      </c>
    </row>
    <row ht="13.8" outlineLevel="0" r="243">
      <c r="A243" s="1" t="s">
        <v>13</v>
      </c>
      <c r="B243" s="1" t="s">
        <v>8</v>
      </c>
      <c r="C243" s="1" t="s">
        <v>9</v>
      </c>
      <c r="D243" s="3">
        <v>43922</v>
      </c>
      <c r="E243" s="1" t="s">
        <v>16</v>
      </c>
      <c r="F243" s="1" t="s">
        <v>17</v>
      </c>
      <c r="G243" s="1">
        <v>114923364646.361</v>
      </c>
    </row>
    <row ht="13.8" outlineLevel="0" r="244">
      <c r="A244" s="1" t="s">
        <v>13</v>
      </c>
      <c r="B244" s="1" t="s">
        <v>8</v>
      </c>
      <c r="C244" s="1" t="s">
        <v>9</v>
      </c>
      <c r="D244" s="3">
        <v>43922</v>
      </c>
      <c r="E244" s="1" t="s">
        <v>18</v>
      </c>
      <c r="F244" s="1" t="s">
        <v>19</v>
      </c>
      <c r="G244" s="1">
        <v>109165547446.485</v>
      </c>
    </row>
    <row ht="13.8" outlineLevel="0" r="245">
      <c r="A245" s="1" t="s">
        <v>13</v>
      </c>
      <c r="B245" s="1" t="s">
        <v>8</v>
      </c>
      <c r="C245" s="1" t="s">
        <v>9</v>
      </c>
      <c r="D245" s="3">
        <v>43922</v>
      </c>
      <c r="E245" s="1" t="s">
        <v>10</v>
      </c>
      <c r="F245" s="1" t="s">
        <v>11</v>
      </c>
      <c r="G245" s="1">
        <v>718752124792.7</v>
      </c>
    </row>
    <row ht="13.8" outlineLevel="0" r="246">
      <c r="A246" s="1" t="s">
        <v>13</v>
      </c>
      <c r="B246" s="1" t="s">
        <v>8</v>
      </c>
      <c r="C246" s="1" t="s">
        <v>9</v>
      </c>
      <c r="D246" s="3">
        <v>43922</v>
      </c>
      <c r="E246" s="1" t="s">
        <v>14</v>
      </c>
      <c r="F246" s="1" t="s">
        <v>15</v>
      </c>
      <c r="G246" s="1">
        <v>282137156629.714</v>
      </c>
    </row>
    <row ht="13.8" outlineLevel="0" r="247">
      <c r="A247" s="1" t="s">
        <v>13</v>
      </c>
      <c r="B247" s="1" t="s">
        <v>8</v>
      </c>
      <c r="C247" s="1" t="s">
        <v>9</v>
      </c>
      <c r="D247" s="3">
        <v>43891</v>
      </c>
      <c r="E247" s="1" t="s">
        <v>10</v>
      </c>
      <c r="F247" s="1" t="s">
        <v>11</v>
      </c>
      <c r="G247" s="1">
        <v>536470492204.79</v>
      </c>
    </row>
    <row ht="13.8" outlineLevel="0" r="248">
      <c r="A248" s="1" t="s">
        <v>13</v>
      </c>
      <c r="B248" s="1" t="s">
        <v>8</v>
      </c>
      <c r="C248" s="1" t="s">
        <v>9</v>
      </c>
      <c r="D248" s="3">
        <v>43891</v>
      </c>
      <c r="E248" s="1" t="s">
        <v>14</v>
      </c>
      <c r="F248" s="1" t="s">
        <v>15</v>
      </c>
      <c r="G248" s="1">
        <v>157714624041.15</v>
      </c>
    </row>
    <row ht="13.8" outlineLevel="0" r="249">
      <c r="A249" s="1" t="s">
        <v>13</v>
      </c>
      <c r="B249" s="1" t="s">
        <v>8</v>
      </c>
      <c r="C249" s="1" t="s">
        <v>9</v>
      </c>
      <c r="D249" s="3">
        <v>43891</v>
      </c>
      <c r="E249" s="1" t="s">
        <v>18</v>
      </c>
      <c r="F249" s="1" t="s">
        <v>19</v>
      </c>
      <c r="G249" s="1">
        <v>54022008319.7527</v>
      </c>
    </row>
    <row ht="13.8" outlineLevel="0" r="250">
      <c r="A250" s="1" t="s">
        <v>13</v>
      </c>
      <c r="B250" s="1" t="s">
        <v>8</v>
      </c>
      <c r="C250" s="1" t="s">
        <v>9</v>
      </c>
      <c r="D250" s="3">
        <v>43891</v>
      </c>
      <c r="E250" s="1" t="s">
        <v>16</v>
      </c>
      <c r="F250" s="1" t="s">
        <v>17</v>
      </c>
      <c r="G250" s="1">
        <v>58738240352.4012</v>
      </c>
    </row>
    <row ht="13.8" outlineLevel="0" r="251">
      <c r="A251" s="1" t="s">
        <v>13</v>
      </c>
      <c r="B251" s="1" t="s">
        <v>8</v>
      </c>
      <c r="C251" s="1" t="s">
        <v>9</v>
      </c>
      <c r="D251" s="3">
        <v>43862</v>
      </c>
      <c r="E251" s="1" t="s">
        <v>14</v>
      </c>
      <c r="F251" s="1" t="s">
        <v>15</v>
      </c>
      <c r="G251" s="1">
        <v>143162044640.862</v>
      </c>
    </row>
    <row ht="13.8" outlineLevel="0" r="252">
      <c r="A252" s="1" t="s">
        <v>13</v>
      </c>
      <c r="B252" s="1" t="s">
        <v>8</v>
      </c>
      <c r="C252" s="1" t="s">
        <v>9</v>
      </c>
      <c r="D252" s="3">
        <v>43862</v>
      </c>
      <c r="E252" s="1" t="s">
        <v>16</v>
      </c>
      <c r="F252" s="1" t="s">
        <v>17</v>
      </c>
      <c r="G252" s="1">
        <v>36079567262.6375</v>
      </c>
    </row>
    <row ht="13.8" outlineLevel="0" r="253">
      <c r="A253" s="1" t="s">
        <v>13</v>
      </c>
      <c r="B253" s="1" t="s">
        <v>8</v>
      </c>
      <c r="C253" s="1" t="s">
        <v>9</v>
      </c>
      <c r="D253" s="3">
        <v>43862</v>
      </c>
      <c r="E253" s="1" t="s">
        <v>10</v>
      </c>
      <c r="F253" s="1" t="s">
        <v>11</v>
      </c>
      <c r="G253" s="1">
        <v>538178690184.03</v>
      </c>
    </row>
    <row ht="13.8" outlineLevel="0" r="254">
      <c r="A254" s="1" t="s">
        <v>13</v>
      </c>
      <c r="B254" s="1" t="s">
        <v>8</v>
      </c>
      <c r="C254" s="1" t="s">
        <v>9</v>
      </c>
      <c r="D254" s="3">
        <v>43862</v>
      </c>
      <c r="E254" s="1" t="s">
        <v>18</v>
      </c>
      <c r="F254" s="1" t="s">
        <v>19</v>
      </c>
      <c r="G254" s="1">
        <v>31852662752.8329</v>
      </c>
    </row>
    <row ht="13.8" outlineLevel="0" r="255">
      <c r="A255" s="1" t="s">
        <v>13</v>
      </c>
      <c r="B255" s="1" t="s">
        <v>8</v>
      </c>
      <c r="C255" s="1" t="s">
        <v>9</v>
      </c>
      <c r="D255" s="3">
        <v>43831</v>
      </c>
      <c r="E255" s="1" t="s">
        <v>16</v>
      </c>
      <c r="F255" s="1" t="s">
        <v>17</v>
      </c>
      <c r="G255" s="1">
        <v>16824741307.5138</v>
      </c>
    </row>
    <row ht="13.8" outlineLevel="0" r="256">
      <c r="A256" s="1" t="s">
        <v>13</v>
      </c>
      <c r="B256" s="1" t="s">
        <v>8</v>
      </c>
      <c r="C256" s="1" t="s">
        <v>9</v>
      </c>
      <c r="D256" s="3">
        <v>43831</v>
      </c>
      <c r="E256" s="1" t="s">
        <v>14</v>
      </c>
      <c r="F256" s="1" t="s">
        <v>15</v>
      </c>
      <c r="G256" s="1">
        <v>131481550096.252</v>
      </c>
    </row>
    <row ht="13.8" outlineLevel="0" r="257">
      <c r="A257" s="1" t="s">
        <v>13</v>
      </c>
      <c r="B257" s="1" t="s">
        <v>8</v>
      </c>
      <c r="C257" s="1" t="s">
        <v>9</v>
      </c>
      <c r="D257" s="3">
        <v>43831</v>
      </c>
      <c r="E257" s="1" t="s">
        <v>18</v>
      </c>
      <c r="F257" s="1" t="s">
        <v>19</v>
      </c>
      <c r="G257" s="1">
        <v>12950915758.725</v>
      </c>
    </row>
    <row ht="13.8" outlineLevel="0" r="258">
      <c r="A258" s="1" t="s">
        <v>13</v>
      </c>
      <c r="B258" s="1" t="s">
        <v>8</v>
      </c>
      <c r="C258" s="1" t="s">
        <v>9</v>
      </c>
      <c r="D258" s="3">
        <v>43831</v>
      </c>
      <c r="E258" s="1" t="s">
        <v>10</v>
      </c>
      <c r="F258" s="1" t="s">
        <v>11</v>
      </c>
      <c r="G258" s="1">
        <v>538175961267.53</v>
      </c>
    </row>
    <row ht="13.8" outlineLevel="0" r="259">
      <c r="A259" s="1" t="s">
        <v>13</v>
      </c>
      <c r="B259" s="1" t="s">
        <v>8</v>
      </c>
      <c r="C259" s="1" t="s">
        <v>9</v>
      </c>
      <c r="D259" s="3">
        <v>43800</v>
      </c>
      <c r="E259" s="1" t="s">
        <v>10</v>
      </c>
      <c r="F259" s="1" t="s">
        <v>11</v>
      </c>
      <c r="G259" s="1">
        <v>347663418919.45</v>
      </c>
    </row>
    <row ht="13.8" outlineLevel="0" r="260">
      <c r="A260" s="1" t="s">
        <v>13</v>
      </c>
      <c r="B260" s="1" t="s">
        <v>8</v>
      </c>
      <c r="C260" s="1" t="s">
        <v>9</v>
      </c>
      <c r="D260" s="3">
        <v>43800</v>
      </c>
      <c r="E260" s="1" t="s">
        <v>16</v>
      </c>
      <c r="F260" s="1" t="s">
        <v>17</v>
      </c>
      <c r="G260" s="1">
        <v>310758320903.692</v>
      </c>
    </row>
    <row ht="13.8" outlineLevel="0" r="261">
      <c r="A261" s="1" t="s">
        <v>13</v>
      </c>
      <c r="B261" s="1" t="s">
        <v>8</v>
      </c>
      <c r="C261" s="1" t="s">
        <v>9</v>
      </c>
      <c r="D261" s="3">
        <v>43800</v>
      </c>
      <c r="E261" s="1" t="s">
        <v>14</v>
      </c>
      <c r="F261" s="1" t="s">
        <v>15</v>
      </c>
      <c r="G261" s="1">
        <v>337232900036.255</v>
      </c>
    </row>
    <row ht="13.8" outlineLevel="0" r="262">
      <c r="A262" s="1" t="s">
        <v>13</v>
      </c>
      <c r="B262" s="1" t="s">
        <v>8</v>
      </c>
      <c r="C262" s="1" t="s">
        <v>9</v>
      </c>
      <c r="D262" s="3">
        <v>43800</v>
      </c>
      <c r="E262" s="1" t="s">
        <v>18</v>
      </c>
      <c r="F262" s="1" t="s">
        <v>19</v>
      </c>
      <c r="G262" s="1">
        <v>306460773820.194</v>
      </c>
    </row>
    <row ht="13.8" outlineLevel="0" r="263">
      <c r="A263" s="1" t="s">
        <v>13</v>
      </c>
      <c r="B263" s="1" t="s">
        <v>8</v>
      </c>
      <c r="C263" s="1" t="s">
        <v>9</v>
      </c>
      <c r="D263" s="3">
        <v>43800</v>
      </c>
      <c r="E263" s="1" t="s">
        <v>20</v>
      </c>
      <c r="F263" s="1" t="s">
        <v>21</v>
      </c>
      <c r="G263" s="1">
        <v>26474579132.5631</v>
      </c>
    </row>
    <row ht="13.8" outlineLevel="0" r="264">
      <c r="A264" s="1" t="s">
        <v>13</v>
      </c>
      <c r="B264" s="1" t="s">
        <v>8</v>
      </c>
      <c r="C264" s="1" t="s">
        <v>9</v>
      </c>
      <c r="D264" s="3">
        <v>43770</v>
      </c>
      <c r="E264" s="1" t="s">
        <v>14</v>
      </c>
      <c r="F264" s="1" t="s">
        <v>15</v>
      </c>
      <c r="G264" s="1">
        <v>324344209965.1</v>
      </c>
    </row>
    <row ht="13.8" outlineLevel="0" r="265">
      <c r="A265" s="1" t="s">
        <v>13</v>
      </c>
      <c r="B265" s="1" t="s">
        <v>8</v>
      </c>
      <c r="C265" s="1" t="s">
        <v>9</v>
      </c>
      <c r="D265" s="3">
        <v>43770</v>
      </c>
      <c r="E265" s="1" t="s">
        <v>10</v>
      </c>
      <c r="F265" s="1" t="s">
        <v>11</v>
      </c>
      <c r="G265" s="1">
        <v>352534852499.94</v>
      </c>
    </row>
    <row ht="13.8" outlineLevel="0" r="266">
      <c r="A266" s="1" t="s">
        <v>13</v>
      </c>
      <c r="B266" s="1" t="s">
        <v>8</v>
      </c>
      <c r="C266" s="1" t="s">
        <v>9</v>
      </c>
      <c r="D266" s="3">
        <v>43770</v>
      </c>
      <c r="E266" s="1" t="s">
        <v>16</v>
      </c>
      <c r="F266" s="1" t="s">
        <v>17</v>
      </c>
      <c r="G266" s="1">
        <v>245300526057.435</v>
      </c>
    </row>
    <row ht="13.8" outlineLevel="0" r="267">
      <c r="A267" s="1" t="s">
        <v>13</v>
      </c>
      <c r="B267" s="1" t="s">
        <v>8</v>
      </c>
      <c r="C267" s="1" t="s">
        <v>9</v>
      </c>
      <c r="D267" s="3">
        <v>43770</v>
      </c>
      <c r="E267" s="1" t="s">
        <v>18</v>
      </c>
      <c r="F267" s="1" t="s">
        <v>19</v>
      </c>
      <c r="G267" s="1">
        <v>239536600853.651</v>
      </c>
    </row>
    <row ht="13.8" outlineLevel="0" r="268">
      <c r="A268" s="1" t="s">
        <v>13</v>
      </c>
      <c r="B268" s="1" t="s">
        <v>8</v>
      </c>
      <c r="C268" s="1" t="s">
        <v>9</v>
      </c>
      <c r="D268" s="3">
        <v>43739</v>
      </c>
      <c r="E268" s="1" t="s">
        <v>10</v>
      </c>
      <c r="F268" s="1" t="s">
        <v>11</v>
      </c>
      <c r="G268" s="1">
        <v>352285688562.57</v>
      </c>
    </row>
    <row ht="13.8" outlineLevel="0" r="269">
      <c r="A269" s="1" t="s">
        <v>13</v>
      </c>
      <c r="B269" s="1" t="s">
        <v>8</v>
      </c>
      <c r="C269" s="1" t="s">
        <v>9</v>
      </c>
      <c r="D269" s="3">
        <v>43739</v>
      </c>
      <c r="E269" s="1" t="s">
        <v>14</v>
      </c>
      <c r="F269" s="1" t="s">
        <v>15</v>
      </c>
      <c r="G269" s="1">
        <v>313360030166.24</v>
      </c>
    </row>
    <row ht="13.8" outlineLevel="0" r="270">
      <c r="A270" s="1" t="s">
        <v>13</v>
      </c>
      <c r="B270" s="1" t="s">
        <v>8</v>
      </c>
      <c r="C270" s="1" t="s">
        <v>9</v>
      </c>
      <c r="D270" s="3">
        <v>43739</v>
      </c>
      <c r="E270" s="1" t="s">
        <v>16</v>
      </c>
      <c r="F270" s="1" t="s">
        <v>17</v>
      </c>
      <c r="G270" s="1">
        <v>221786120285.738</v>
      </c>
    </row>
    <row ht="13.8" outlineLevel="0" r="271">
      <c r="A271" s="1" t="s">
        <v>13</v>
      </c>
      <c r="B271" s="1" t="s">
        <v>8</v>
      </c>
      <c r="C271" s="1" t="s">
        <v>9</v>
      </c>
      <c r="D271" s="3">
        <v>43739</v>
      </c>
      <c r="E271" s="1" t="s">
        <v>18</v>
      </c>
      <c r="F271" s="1" t="s">
        <v>19</v>
      </c>
      <c r="G271" s="1">
        <v>216442440451.043</v>
      </c>
    </row>
    <row ht="13.8" outlineLevel="0" r="272">
      <c r="A272" s="1" t="s">
        <v>13</v>
      </c>
      <c r="B272" s="1" t="s">
        <v>8</v>
      </c>
      <c r="C272" s="1" t="s">
        <v>9</v>
      </c>
      <c r="D272" s="3">
        <v>43709</v>
      </c>
      <c r="E272" s="1" t="s">
        <v>16</v>
      </c>
      <c r="F272" s="1" t="s">
        <v>17</v>
      </c>
      <c r="G272" s="1">
        <v>199470456864.733</v>
      </c>
    </row>
    <row ht="13.8" outlineLevel="0" r="273">
      <c r="A273" s="1" t="s">
        <v>13</v>
      </c>
      <c r="B273" s="1" t="s">
        <v>8</v>
      </c>
      <c r="C273" s="1" t="s">
        <v>9</v>
      </c>
      <c r="D273" s="3">
        <v>43709</v>
      </c>
      <c r="E273" s="1" t="s">
        <v>14</v>
      </c>
      <c r="F273" s="1" t="s">
        <v>15</v>
      </c>
      <c r="G273" s="1">
        <v>265455908173.43</v>
      </c>
    </row>
    <row ht="13.8" outlineLevel="0" r="274">
      <c r="A274" s="1" t="s">
        <v>13</v>
      </c>
      <c r="B274" s="1" t="s">
        <v>8</v>
      </c>
      <c r="C274" s="1" t="s">
        <v>9</v>
      </c>
      <c r="D274" s="3">
        <v>43709</v>
      </c>
      <c r="E274" s="1" t="s">
        <v>10</v>
      </c>
      <c r="F274" s="1" t="s">
        <v>11</v>
      </c>
      <c r="G274" s="1">
        <v>314466651117.04</v>
      </c>
    </row>
    <row ht="13.8" outlineLevel="0" r="275">
      <c r="A275" s="1" t="s">
        <v>13</v>
      </c>
      <c r="B275" s="1" t="s">
        <v>8</v>
      </c>
      <c r="C275" s="1" t="s">
        <v>9</v>
      </c>
      <c r="D275" s="3">
        <v>43709</v>
      </c>
      <c r="E275" s="1" t="s">
        <v>18</v>
      </c>
      <c r="F275" s="1" t="s">
        <v>19</v>
      </c>
      <c r="G275" s="1">
        <v>193654277175.254</v>
      </c>
    </row>
    <row ht="13.8" outlineLevel="0" r="276">
      <c r="A276" s="1" t="s">
        <v>13</v>
      </c>
      <c r="B276" s="1" t="s">
        <v>8</v>
      </c>
      <c r="C276" s="1" t="s">
        <v>9</v>
      </c>
      <c r="D276" s="3">
        <v>43678</v>
      </c>
      <c r="E276" s="1" t="s">
        <v>14</v>
      </c>
      <c r="F276" s="1" t="s">
        <v>15</v>
      </c>
      <c r="G276" s="1">
        <v>257710213997.469</v>
      </c>
    </row>
    <row ht="13.8" outlineLevel="0" r="277">
      <c r="A277" s="1" t="s">
        <v>13</v>
      </c>
      <c r="B277" s="1" t="s">
        <v>8</v>
      </c>
      <c r="C277" s="1" t="s">
        <v>9</v>
      </c>
      <c r="D277" s="3">
        <v>43678</v>
      </c>
      <c r="E277" s="1" t="s">
        <v>10</v>
      </c>
      <c r="F277" s="1" t="s">
        <v>11</v>
      </c>
      <c r="G277" s="1">
        <v>315485883179.72</v>
      </c>
    </row>
    <row ht="13.8" outlineLevel="0" r="278">
      <c r="A278" s="1" t="s">
        <v>13</v>
      </c>
      <c r="B278" s="1" t="s">
        <v>8</v>
      </c>
      <c r="C278" s="1" t="s">
        <v>9</v>
      </c>
      <c r="D278" s="3">
        <v>43678</v>
      </c>
      <c r="E278" s="1" t="s">
        <v>18</v>
      </c>
      <c r="F278" s="1" t="s">
        <v>19</v>
      </c>
      <c r="G278" s="1">
        <v>171700491269.195</v>
      </c>
    </row>
    <row ht="13.8" outlineLevel="0" r="279">
      <c r="A279" s="1" t="s">
        <v>13</v>
      </c>
      <c r="B279" s="1" t="s">
        <v>8</v>
      </c>
      <c r="C279" s="1" t="s">
        <v>9</v>
      </c>
      <c r="D279" s="3">
        <v>43678</v>
      </c>
      <c r="E279" s="1" t="s">
        <v>16</v>
      </c>
      <c r="F279" s="1" t="s">
        <v>17</v>
      </c>
      <c r="G279" s="1">
        <v>177990562342.734</v>
      </c>
    </row>
    <row ht="13.8" outlineLevel="0" r="280">
      <c r="A280" s="1" t="s">
        <v>13</v>
      </c>
      <c r="B280" s="1" t="s">
        <v>8</v>
      </c>
      <c r="C280" s="1" t="s">
        <v>9</v>
      </c>
      <c r="D280" s="3">
        <v>43647</v>
      </c>
      <c r="E280" s="1" t="s">
        <v>18</v>
      </c>
      <c r="F280" s="1" t="s">
        <v>19</v>
      </c>
      <c r="G280" s="1">
        <v>150283569540.205</v>
      </c>
    </row>
    <row ht="13.8" outlineLevel="0" r="281">
      <c r="A281" s="1" t="s">
        <v>13</v>
      </c>
      <c r="B281" s="1" t="s">
        <v>8</v>
      </c>
      <c r="C281" s="1" t="s">
        <v>9</v>
      </c>
      <c r="D281" s="3">
        <v>43647</v>
      </c>
      <c r="E281" s="1" t="s">
        <v>16</v>
      </c>
      <c r="F281" s="1" t="s">
        <v>17</v>
      </c>
      <c r="G281" s="1">
        <v>156143130854.526</v>
      </c>
    </row>
    <row ht="13.8" outlineLevel="0" r="282">
      <c r="A282" s="1" t="s">
        <v>13</v>
      </c>
      <c r="B282" s="1" t="s">
        <v>8</v>
      </c>
      <c r="C282" s="1" t="s">
        <v>9</v>
      </c>
      <c r="D282" s="3">
        <v>43647</v>
      </c>
      <c r="E282" s="1" t="s">
        <v>10</v>
      </c>
      <c r="F282" s="1" t="s">
        <v>11</v>
      </c>
      <c r="G282" s="1">
        <v>315654963868.45</v>
      </c>
    </row>
    <row ht="13.8" outlineLevel="0" r="283">
      <c r="A283" s="1" t="s">
        <v>13</v>
      </c>
      <c r="B283" s="1" t="s">
        <v>8</v>
      </c>
      <c r="C283" s="1" t="s">
        <v>9</v>
      </c>
      <c r="D283" s="3">
        <v>43647</v>
      </c>
      <c r="E283" s="1" t="s">
        <v>14</v>
      </c>
      <c r="F283" s="1" t="s">
        <v>15</v>
      </c>
      <c r="G283" s="1">
        <v>246869160444.769</v>
      </c>
    </row>
    <row ht="13.8" outlineLevel="0" r="284">
      <c r="A284" s="1" t="s">
        <v>13</v>
      </c>
      <c r="B284" s="1" t="s">
        <v>8</v>
      </c>
      <c r="C284" s="1" t="s">
        <v>9</v>
      </c>
      <c r="D284" s="3">
        <v>43617</v>
      </c>
      <c r="E284" s="1" t="s">
        <v>10</v>
      </c>
      <c r="F284" s="1" t="s">
        <v>11</v>
      </c>
      <c r="G284" s="1">
        <v>316562622320.01</v>
      </c>
    </row>
    <row ht="13.8" outlineLevel="0" r="285">
      <c r="A285" s="1" t="s">
        <v>13</v>
      </c>
      <c r="B285" s="1" t="s">
        <v>8</v>
      </c>
      <c r="C285" s="1" t="s">
        <v>9</v>
      </c>
      <c r="D285" s="3">
        <v>43617</v>
      </c>
      <c r="E285" s="1" t="s">
        <v>14</v>
      </c>
      <c r="F285" s="1" t="s">
        <v>15</v>
      </c>
      <c r="G285" s="1">
        <v>220730689265.66</v>
      </c>
    </row>
    <row ht="13.8" outlineLevel="0" r="286">
      <c r="A286" s="1" t="s">
        <v>13</v>
      </c>
      <c r="B286" s="1" t="s">
        <v>8</v>
      </c>
      <c r="C286" s="1" t="s">
        <v>9</v>
      </c>
      <c r="D286" s="3">
        <v>43617</v>
      </c>
      <c r="E286" s="1" t="s">
        <v>16</v>
      </c>
      <c r="F286" s="1" t="s">
        <v>17</v>
      </c>
      <c r="G286" s="1">
        <v>129663227369.864</v>
      </c>
    </row>
    <row ht="13.8" outlineLevel="0" r="287">
      <c r="A287" s="1" t="s">
        <v>13</v>
      </c>
      <c r="B287" s="1" t="s">
        <v>8</v>
      </c>
      <c r="C287" s="1" t="s">
        <v>9</v>
      </c>
      <c r="D287" s="3">
        <v>43617</v>
      </c>
      <c r="E287" s="1" t="s">
        <v>18</v>
      </c>
      <c r="F287" s="1" t="s">
        <v>19</v>
      </c>
      <c r="G287" s="1">
        <v>124098121142.992</v>
      </c>
    </row>
    <row ht="13.8" outlineLevel="0" r="288">
      <c r="A288" s="1" t="s">
        <v>13</v>
      </c>
      <c r="B288" s="1" t="s">
        <v>8</v>
      </c>
      <c r="C288" s="1" t="s">
        <v>9</v>
      </c>
      <c r="D288" s="3">
        <v>43586</v>
      </c>
      <c r="E288" s="1" t="s">
        <v>16</v>
      </c>
      <c r="F288" s="1" t="s">
        <v>17</v>
      </c>
      <c r="G288" s="1">
        <v>109634275703.912</v>
      </c>
    </row>
    <row ht="13.8" outlineLevel="0" r="289">
      <c r="A289" s="1" t="s">
        <v>13</v>
      </c>
      <c r="B289" s="1" t="s">
        <v>8</v>
      </c>
      <c r="C289" s="1" t="s">
        <v>9</v>
      </c>
      <c r="D289" s="3">
        <v>43586</v>
      </c>
      <c r="E289" s="1" t="s">
        <v>18</v>
      </c>
      <c r="F289" s="1" t="s">
        <v>19</v>
      </c>
      <c r="G289" s="1">
        <v>104138203498.56</v>
      </c>
    </row>
    <row ht="13.8" outlineLevel="0" r="290">
      <c r="A290" s="1" t="s">
        <v>13</v>
      </c>
      <c r="B290" s="1" t="s">
        <v>8</v>
      </c>
      <c r="C290" s="1" t="s">
        <v>9</v>
      </c>
      <c r="D290" s="3">
        <v>43586</v>
      </c>
      <c r="E290" s="1" t="s">
        <v>10</v>
      </c>
      <c r="F290" s="1" t="s">
        <v>11</v>
      </c>
      <c r="G290" s="1">
        <v>518233482950.12</v>
      </c>
    </row>
    <row ht="13.8" outlineLevel="0" r="291">
      <c r="A291" s="1" t="s">
        <v>13</v>
      </c>
      <c r="B291" s="1" t="s">
        <v>8</v>
      </c>
      <c r="C291" s="1" t="s">
        <v>9</v>
      </c>
      <c r="D291" s="3">
        <v>43586</v>
      </c>
      <c r="E291" s="1" t="s">
        <v>14</v>
      </c>
      <c r="F291" s="1" t="s">
        <v>15</v>
      </c>
      <c r="G291" s="1">
        <v>186978022470.915</v>
      </c>
    </row>
    <row ht="13.8" outlineLevel="0" r="292">
      <c r="A292" s="1" t="s">
        <v>13</v>
      </c>
      <c r="B292" s="1" t="s">
        <v>8</v>
      </c>
      <c r="C292" s="1" t="s">
        <v>9</v>
      </c>
      <c r="D292" s="3">
        <v>43556</v>
      </c>
      <c r="E292" s="1" t="s">
        <v>16</v>
      </c>
      <c r="F292" s="1" t="s">
        <v>17</v>
      </c>
      <c r="G292" s="1">
        <v>89096471076.5027</v>
      </c>
    </row>
    <row ht="13.8" outlineLevel="0" r="293">
      <c r="A293" s="1" t="s">
        <v>13</v>
      </c>
      <c r="B293" s="1" t="s">
        <v>8</v>
      </c>
      <c r="C293" s="1" t="s">
        <v>9</v>
      </c>
      <c r="D293" s="3">
        <v>43556</v>
      </c>
      <c r="E293" s="1" t="s">
        <v>10</v>
      </c>
      <c r="F293" s="1" t="s">
        <v>11</v>
      </c>
      <c r="G293" s="1">
        <v>519533538289.07</v>
      </c>
    </row>
    <row ht="13.8" outlineLevel="0" r="294">
      <c r="A294" s="1" t="s">
        <v>13</v>
      </c>
      <c r="B294" s="1" t="s">
        <v>8</v>
      </c>
      <c r="C294" s="1" t="s">
        <v>9</v>
      </c>
      <c r="D294" s="3">
        <v>43556</v>
      </c>
      <c r="E294" s="1" t="s">
        <v>14</v>
      </c>
      <c r="F294" s="1" t="s">
        <v>15</v>
      </c>
      <c r="G294" s="1">
        <v>173097423679.467</v>
      </c>
    </row>
    <row ht="13.8" outlineLevel="0" r="295">
      <c r="A295" s="1" t="s">
        <v>13</v>
      </c>
      <c r="B295" s="1" t="s">
        <v>8</v>
      </c>
      <c r="C295" s="1" t="s">
        <v>9</v>
      </c>
      <c r="D295" s="3">
        <v>43556</v>
      </c>
      <c r="E295" s="1" t="s">
        <v>18</v>
      </c>
      <c r="F295" s="1" t="s">
        <v>19</v>
      </c>
      <c r="G295" s="1">
        <v>83825807150.6119</v>
      </c>
    </row>
    <row ht="13.8" outlineLevel="0" r="296">
      <c r="A296" s="1" t="s">
        <v>13</v>
      </c>
      <c r="B296" s="1" t="s">
        <v>8</v>
      </c>
      <c r="C296" s="1" t="s">
        <v>9</v>
      </c>
      <c r="D296" s="3">
        <v>43525</v>
      </c>
      <c r="E296" s="1" t="s">
        <v>14</v>
      </c>
      <c r="F296" s="1" t="s">
        <v>15</v>
      </c>
      <c r="G296" s="1">
        <v>147464166638.147</v>
      </c>
    </row>
    <row ht="13.8" outlineLevel="0" r="297">
      <c r="A297" s="1" t="s">
        <v>13</v>
      </c>
      <c r="B297" s="1" t="s">
        <v>8</v>
      </c>
      <c r="C297" s="1" t="s">
        <v>9</v>
      </c>
      <c r="D297" s="3">
        <v>43525</v>
      </c>
      <c r="E297" s="1" t="s">
        <v>18</v>
      </c>
      <c r="F297" s="1" t="s">
        <v>19</v>
      </c>
      <c r="G297" s="1">
        <v>53528608816.3985</v>
      </c>
    </row>
    <row ht="13.8" outlineLevel="0" r="298">
      <c r="A298" s="1" t="s">
        <v>13</v>
      </c>
      <c r="B298" s="1" t="s">
        <v>8</v>
      </c>
      <c r="C298" s="1" t="s">
        <v>9</v>
      </c>
      <c r="D298" s="3">
        <v>43525</v>
      </c>
      <c r="E298" s="1" t="s">
        <v>16</v>
      </c>
      <c r="F298" s="1" t="s">
        <v>17</v>
      </c>
      <c r="G298" s="1">
        <v>57882244685.766</v>
      </c>
    </row>
    <row ht="13.8" outlineLevel="0" r="299">
      <c r="A299" s="1" t="s">
        <v>13</v>
      </c>
      <c r="B299" s="1" t="s">
        <v>8</v>
      </c>
      <c r="C299" s="1" t="s">
        <v>9</v>
      </c>
      <c r="D299" s="3">
        <v>43525</v>
      </c>
      <c r="E299" s="1" t="s">
        <v>10</v>
      </c>
      <c r="F299" s="1" t="s">
        <v>11</v>
      </c>
      <c r="G299" s="1">
        <v>520250886734.11</v>
      </c>
    </row>
    <row ht="13.8" outlineLevel="0" r="300">
      <c r="A300" s="1" t="s">
        <v>13</v>
      </c>
      <c r="B300" s="1" t="s">
        <v>8</v>
      </c>
      <c r="C300" s="1" t="s">
        <v>9</v>
      </c>
      <c r="D300" s="3">
        <v>43497</v>
      </c>
      <c r="E300" s="1" t="s">
        <v>18</v>
      </c>
      <c r="F300" s="1" t="s">
        <v>19</v>
      </c>
      <c r="G300" s="1">
        <v>31569269397.7556</v>
      </c>
    </row>
    <row ht="13.8" outlineLevel="0" r="301">
      <c r="A301" s="1" t="s">
        <v>13</v>
      </c>
      <c r="B301" s="1" t="s">
        <v>8</v>
      </c>
      <c r="C301" s="1" t="s">
        <v>9</v>
      </c>
      <c r="D301" s="3">
        <v>43497</v>
      </c>
      <c r="E301" s="1" t="s">
        <v>10</v>
      </c>
      <c r="F301" s="1" t="s">
        <v>11</v>
      </c>
      <c r="G301" s="1">
        <v>520373482820.87</v>
      </c>
    </row>
    <row ht="13.8" outlineLevel="0" r="302">
      <c r="A302" s="1" t="s">
        <v>13</v>
      </c>
      <c r="B302" s="1" t="s">
        <v>8</v>
      </c>
      <c r="C302" s="1" t="s">
        <v>9</v>
      </c>
      <c r="D302" s="3">
        <v>43497</v>
      </c>
      <c r="E302" s="1" t="s">
        <v>14</v>
      </c>
      <c r="F302" s="1" t="s">
        <v>15</v>
      </c>
      <c r="G302" s="1">
        <v>136825387457.217</v>
      </c>
    </row>
    <row ht="13.8" outlineLevel="0" r="303">
      <c r="A303" s="1" t="s">
        <v>13</v>
      </c>
      <c r="B303" s="1" t="s">
        <v>8</v>
      </c>
      <c r="C303" s="1" t="s">
        <v>9</v>
      </c>
      <c r="D303" s="3">
        <v>43497</v>
      </c>
      <c r="E303" s="1" t="s">
        <v>16</v>
      </c>
      <c r="F303" s="1" t="s">
        <v>17</v>
      </c>
      <c r="G303" s="1">
        <v>35848817490.8984</v>
      </c>
    </row>
    <row ht="13.8" outlineLevel="0" r="304">
      <c r="A304" s="1" t="s">
        <v>13</v>
      </c>
      <c r="B304" s="1" t="s">
        <v>8</v>
      </c>
      <c r="C304" s="1" t="s">
        <v>9</v>
      </c>
      <c r="D304" s="3">
        <v>43466</v>
      </c>
      <c r="E304" s="1" t="s">
        <v>18</v>
      </c>
      <c r="F304" s="1" t="s">
        <v>19</v>
      </c>
      <c r="G304" s="1">
        <v>12795187147.1507</v>
      </c>
    </row>
    <row ht="13.8" outlineLevel="0" r="305">
      <c r="A305" s="1" t="s">
        <v>13</v>
      </c>
      <c r="B305" s="1" t="s">
        <v>8</v>
      </c>
      <c r="C305" s="1" t="s">
        <v>9</v>
      </c>
      <c r="D305" s="3">
        <v>43466</v>
      </c>
      <c r="E305" s="1" t="s">
        <v>14</v>
      </c>
      <c r="F305" s="1" t="s">
        <v>15</v>
      </c>
      <c r="G305" s="1">
        <v>116706746031.741</v>
      </c>
    </row>
    <row ht="13.8" outlineLevel="0" r="306">
      <c r="A306" s="1" t="s">
        <v>13</v>
      </c>
      <c r="B306" s="1" t="s">
        <v>8</v>
      </c>
      <c r="C306" s="1" t="s">
        <v>9</v>
      </c>
      <c r="D306" s="3">
        <v>43466</v>
      </c>
      <c r="E306" s="1" t="s">
        <v>16</v>
      </c>
      <c r="F306" s="1" t="s">
        <v>17</v>
      </c>
      <c r="G306" s="1">
        <v>16587261267.7315</v>
      </c>
    </row>
    <row ht="13.8" outlineLevel="0" r="307">
      <c r="A307" s="1" t="s">
        <v>13</v>
      </c>
      <c r="B307" s="1" t="s">
        <v>8</v>
      </c>
      <c r="C307" s="1" t="s">
        <v>9</v>
      </c>
      <c r="D307" s="3">
        <v>43466</v>
      </c>
      <c r="E307" s="1" t="s">
        <v>10</v>
      </c>
      <c r="F307" s="1" t="s">
        <v>11</v>
      </c>
      <c r="G307" s="1">
        <v>520150465263.19</v>
      </c>
    </row>
    <row ht="13.8" outlineLevel="0" r="308">
      <c r="A308" s="1" t="s">
        <v>22</v>
      </c>
      <c r="B308" s="1" t="s">
        <v>23</v>
      </c>
      <c r="C308" s="1" t="s">
        <v>24</v>
      </c>
      <c r="D308" s="3">
        <v>44197</v>
      </c>
      <c r="E308" s="1" t="s">
        <v>16</v>
      </c>
      <c r="F308" s="1" t="s">
        <v>17</v>
      </c>
      <c r="G308" s="1">
        <v>23921598.98</v>
      </c>
    </row>
    <row ht="13.8" outlineLevel="0" r="309">
      <c r="A309" s="1" t="s">
        <v>22</v>
      </c>
      <c r="B309" s="1" t="s">
        <v>23</v>
      </c>
      <c r="C309" s="1" t="s">
        <v>24</v>
      </c>
      <c r="D309" s="3">
        <v>44197</v>
      </c>
      <c r="E309" s="1" t="s">
        <v>18</v>
      </c>
      <c r="F309" s="1" t="s">
        <v>19</v>
      </c>
      <c r="G309" s="1">
        <v>23921598.98</v>
      </c>
    </row>
    <row ht="13.8" outlineLevel="0" r="310">
      <c r="A310" s="1" t="s">
        <v>22</v>
      </c>
      <c r="B310" s="1" t="s">
        <v>23</v>
      </c>
      <c r="C310" s="1" t="s">
        <v>24</v>
      </c>
      <c r="D310" s="3">
        <v>44197</v>
      </c>
      <c r="E310" s="1" t="s">
        <v>14</v>
      </c>
      <c r="F310" s="1" t="s">
        <v>15</v>
      </c>
      <c r="G310" s="1">
        <v>139784937.11</v>
      </c>
    </row>
    <row ht="13.8" outlineLevel="0" r="311">
      <c r="A311" s="1" t="s">
        <v>22</v>
      </c>
      <c r="B311" s="1" t="s">
        <v>23</v>
      </c>
      <c r="C311" s="1" t="s">
        <v>24</v>
      </c>
      <c r="D311" s="3">
        <v>44197</v>
      </c>
      <c r="E311" s="1" t="s">
        <v>10</v>
      </c>
      <c r="F311" s="1" t="s">
        <v>11</v>
      </c>
      <c r="G311" s="1">
        <v>301769373649</v>
      </c>
    </row>
    <row ht="13.8" outlineLevel="0" r="312">
      <c r="A312" s="1" t="s">
        <v>22</v>
      </c>
      <c r="B312" s="1" t="s">
        <v>23</v>
      </c>
      <c r="C312" s="1" t="s">
        <v>24</v>
      </c>
      <c r="D312" s="3">
        <v>44166</v>
      </c>
      <c r="E312" s="1" t="s">
        <v>20</v>
      </c>
      <c r="F312" s="1" t="s">
        <v>21</v>
      </c>
      <c r="G312" s="1">
        <v>2613573.81</v>
      </c>
    </row>
    <row ht="13.8" outlineLevel="0" r="313">
      <c r="A313" s="1" t="s">
        <v>22</v>
      </c>
      <c r="B313" s="1" t="s">
        <v>23</v>
      </c>
      <c r="C313" s="1" t="s">
        <v>24</v>
      </c>
      <c r="D313" s="3">
        <v>44166</v>
      </c>
      <c r="E313" s="1" t="s">
        <v>10</v>
      </c>
      <c r="F313" s="1" t="s">
        <v>11</v>
      </c>
      <c r="G313" s="1">
        <v>420324108283.34</v>
      </c>
    </row>
    <row ht="13.8" outlineLevel="0" r="314">
      <c r="A314" s="1" t="s">
        <v>22</v>
      </c>
      <c r="B314" s="1" t="s">
        <v>23</v>
      </c>
      <c r="C314" s="1" t="s">
        <v>24</v>
      </c>
      <c r="D314" s="3">
        <v>44166</v>
      </c>
      <c r="E314" s="1" t="s">
        <v>16</v>
      </c>
      <c r="F314" s="1" t="s">
        <v>17</v>
      </c>
      <c r="G314" s="1">
        <v>311531191137.16</v>
      </c>
    </row>
    <row ht="13.8" outlineLevel="0" r="315">
      <c r="A315" s="1" t="s">
        <v>22</v>
      </c>
      <c r="B315" s="1" t="s">
        <v>23</v>
      </c>
      <c r="C315" s="1" t="s">
        <v>24</v>
      </c>
      <c r="D315" s="3">
        <v>44166</v>
      </c>
      <c r="E315" s="1" t="s">
        <v>14</v>
      </c>
      <c r="F315" s="1" t="s">
        <v>15</v>
      </c>
      <c r="G315" s="1">
        <v>311533804710.97</v>
      </c>
    </row>
    <row ht="13.8" outlineLevel="0" r="316">
      <c r="A316" s="1" t="s">
        <v>22</v>
      </c>
      <c r="B316" s="1" t="s">
        <v>23</v>
      </c>
      <c r="C316" s="1" t="s">
        <v>24</v>
      </c>
      <c r="D316" s="3">
        <v>44166</v>
      </c>
      <c r="E316" s="1" t="s">
        <v>18</v>
      </c>
      <c r="F316" s="1" t="s">
        <v>19</v>
      </c>
      <c r="G316" s="1">
        <v>311528041774.93</v>
      </c>
    </row>
    <row ht="13.8" outlineLevel="0" r="317">
      <c r="A317" s="1" t="s">
        <v>22</v>
      </c>
      <c r="B317" s="1" t="s">
        <v>23</v>
      </c>
      <c r="C317" s="1" t="s">
        <v>24</v>
      </c>
      <c r="D317" s="3">
        <v>44136</v>
      </c>
      <c r="E317" s="1" t="s">
        <v>10</v>
      </c>
      <c r="F317" s="1" t="s">
        <v>11</v>
      </c>
      <c r="G317" s="1">
        <v>420720002062.61</v>
      </c>
    </row>
    <row ht="13.8" outlineLevel="0" r="318">
      <c r="A318" s="1" t="s">
        <v>22</v>
      </c>
      <c r="B318" s="1" t="s">
        <v>23</v>
      </c>
      <c r="C318" s="1" t="s">
        <v>24</v>
      </c>
      <c r="D318" s="3">
        <v>44136</v>
      </c>
      <c r="E318" s="1" t="s">
        <v>14</v>
      </c>
      <c r="F318" s="1" t="s">
        <v>15</v>
      </c>
      <c r="G318" s="1">
        <v>311671482441.96</v>
      </c>
    </row>
    <row ht="13.8" outlineLevel="0" r="319">
      <c r="A319" s="1" t="s">
        <v>22</v>
      </c>
      <c r="B319" s="1" t="s">
        <v>23</v>
      </c>
      <c r="C319" s="1" t="s">
        <v>24</v>
      </c>
      <c r="D319" s="3">
        <v>44136</v>
      </c>
      <c r="E319" s="1" t="s">
        <v>16</v>
      </c>
      <c r="F319" s="1" t="s">
        <v>17</v>
      </c>
      <c r="G319" s="1">
        <v>311516374689.95</v>
      </c>
    </row>
    <row ht="13.8" outlineLevel="0" r="320">
      <c r="A320" s="1" t="s">
        <v>22</v>
      </c>
      <c r="B320" s="1" t="s">
        <v>23</v>
      </c>
      <c r="C320" s="1" t="s">
        <v>24</v>
      </c>
      <c r="D320" s="3">
        <v>44136</v>
      </c>
      <c r="E320" s="1" t="s">
        <v>18</v>
      </c>
      <c r="F320" s="1" t="s">
        <v>19</v>
      </c>
      <c r="G320" s="1">
        <v>311515073944.06</v>
      </c>
    </row>
    <row ht="13.8" outlineLevel="0" r="321">
      <c r="A321" s="1" t="s">
        <v>22</v>
      </c>
      <c r="B321" s="1" t="s">
        <v>23</v>
      </c>
      <c r="C321" s="1" t="s">
        <v>24</v>
      </c>
      <c r="D321" s="3">
        <v>44105</v>
      </c>
      <c r="E321" s="1" t="s">
        <v>14</v>
      </c>
      <c r="F321" s="1" t="s">
        <v>15</v>
      </c>
      <c r="G321" s="1">
        <v>311618082441.96</v>
      </c>
    </row>
    <row ht="13.8" outlineLevel="0" r="322">
      <c r="A322" s="1" t="s">
        <v>22</v>
      </c>
      <c r="B322" s="1" t="s">
        <v>23</v>
      </c>
      <c r="C322" s="1" t="s">
        <v>24</v>
      </c>
      <c r="D322" s="3">
        <v>44105</v>
      </c>
      <c r="E322" s="1" t="s">
        <v>10</v>
      </c>
      <c r="F322" s="1" t="s">
        <v>11</v>
      </c>
      <c r="G322" s="1">
        <v>420798827154.61</v>
      </c>
    </row>
    <row ht="13.8" outlineLevel="0" r="323">
      <c r="A323" s="1" t="s">
        <v>22</v>
      </c>
      <c r="B323" s="1" t="s">
        <v>23</v>
      </c>
      <c r="C323" s="1" t="s">
        <v>24</v>
      </c>
      <c r="D323" s="3">
        <v>44105</v>
      </c>
      <c r="E323" s="1" t="s">
        <v>18</v>
      </c>
      <c r="F323" s="1" t="s">
        <v>19</v>
      </c>
      <c r="G323" s="1">
        <v>311447738228.76</v>
      </c>
    </row>
    <row ht="13.8" outlineLevel="0" r="324">
      <c r="A324" s="1" t="s">
        <v>22</v>
      </c>
      <c r="B324" s="1" t="s">
        <v>23</v>
      </c>
      <c r="C324" s="1" t="s">
        <v>24</v>
      </c>
      <c r="D324" s="3">
        <v>44105</v>
      </c>
      <c r="E324" s="1" t="s">
        <v>16</v>
      </c>
      <c r="F324" s="1" t="s">
        <v>17</v>
      </c>
      <c r="G324" s="1">
        <v>311447738228.76</v>
      </c>
    </row>
    <row ht="13.8" outlineLevel="0" r="325">
      <c r="A325" s="1" t="s">
        <v>22</v>
      </c>
      <c r="B325" s="1" t="s">
        <v>23</v>
      </c>
      <c r="C325" s="1" t="s">
        <v>24</v>
      </c>
      <c r="D325" s="3">
        <v>44075</v>
      </c>
      <c r="E325" s="1" t="s">
        <v>16</v>
      </c>
      <c r="F325" s="1" t="s">
        <v>17</v>
      </c>
      <c r="G325" s="1">
        <v>267455639733.93</v>
      </c>
    </row>
    <row ht="13.8" outlineLevel="0" r="326">
      <c r="A326" s="1" t="s">
        <v>22</v>
      </c>
      <c r="B326" s="1" t="s">
        <v>23</v>
      </c>
      <c r="C326" s="1" t="s">
        <v>24</v>
      </c>
      <c r="D326" s="3">
        <v>44075</v>
      </c>
      <c r="E326" s="1" t="s">
        <v>18</v>
      </c>
      <c r="F326" s="1" t="s">
        <v>19</v>
      </c>
      <c r="G326" s="1">
        <v>267455639733.93</v>
      </c>
    </row>
    <row ht="13.8" outlineLevel="0" r="327">
      <c r="A327" s="1" t="s">
        <v>22</v>
      </c>
      <c r="B327" s="1" t="s">
        <v>23</v>
      </c>
      <c r="C327" s="1" t="s">
        <v>24</v>
      </c>
      <c r="D327" s="3">
        <v>44075</v>
      </c>
      <c r="E327" s="1" t="s">
        <v>10</v>
      </c>
      <c r="F327" s="1" t="s">
        <v>11</v>
      </c>
      <c r="G327" s="1">
        <v>435798827154.61</v>
      </c>
    </row>
    <row ht="13.8" outlineLevel="0" r="328">
      <c r="A328" s="1" t="s">
        <v>22</v>
      </c>
      <c r="B328" s="1" t="s">
        <v>23</v>
      </c>
      <c r="C328" s="1" t="s">
        <v>24</v>
      </c>
      <c r="D328" s="3">
        <v>44075</v>
      </c>
      <c r="E328" s="1" t="s">
        <v>14</v>
      </c>
      <c r="F328" s="1" t="s">
        <v>15</v>
      </c>
      <c r="G328" s="1">
        <v>267543746130.72</v>
      </c>
    </row>
    <row ht="13.8" outlineLevel="0" r="329">
      <c r="A329" s="1" t="s">
        <v>22</v>
      </c>
      <c r="B329" s="1" t="s">
        <v>23</v>
      </c>
      <c r="C329" s="1" t="s">
        <v>24</v>
      </c>
      <c r="D329" s="3">
        <v>44044</v>
      </c>
      <c r="E329" s="1" t="s">
        <v>16</v>
      </c>
      <c r="F329" s="1" t="s">
        <v>17</v>
      </c>
      <c r="G329" s="1">
        <v>136736802383.76</v>
      </c>
    </row>
    <row ht="13.8" outlineLevel="0" r="330">
      <c r="A330" s="1" t="s">
        <v>22</v>
      </c>
      <c r="B330" s="1" t="s">
        <v>23</v>
      </c>
      <c r="C330" s="1" t="s">
        <v>24</v>
      </c>
      <c r="D330" s="3">
        <v>44044</v>
      </c>
      <c r="E330" s="1" t="s">
        <v>18</v>
      </c>
      <c r="F330" s="1" t="s">
        <v>19</v>
      </c>
      <c r="G330" s="1">
        <v>136736802383.76</v>
      </c>
    </row>
    <row ht="13.8" outlineLevel="0" r="331">
      <c r="A331" s="1" t="s">
        <v>22</v>
      </c>
      <c r="B331" s="1" t="s">
        <v>23</v>
      </c>
      <c r="C331" s="1" t="s">
        <v>24</v>
      </c>
      <c r="D331" s="3">
        <v>44044</v>
      </c>
      <c r="E331" s="1" t="s">
        <v>10</v>
      </c>
      <c r="F331" s="1" t="s">
        <v>11</v>
      </c>
      <c r="G331" s="1">
        <v>420628290154.61</v>
      </c>
    </row>
    <row ht="13.8" outlineLevel="0" r="332">
      <c r="A332" s="1" t="s">
        <v>22</v>
      </c>
      <c r="B332" s="1" t="s">
        <v>23</v>
      </c>
      <c r="C332" s="1" t="s">
        <v>24</v>
      </c>
      <c r="D332" s="3">
        <v>44044</v>
      </c>
      <c r="E332" s="1" t="s">
        <v>14</v>
      </c>
      <c r="F332" s="1" t="s">
        <v>15</v>
      </c>
      <c r="G332" s="1">
        <v>136838665002.42</v>
      </c>
    </row>
    <row ht="13.8" outlineLevel="0" r="333">
      <c r="A333" s="1" t="s">
        <v>22</v>
      </c>
      <c r="B333" s="1" t="s">
        <v>23</v>
      </c>
      <c r="C333" s="1" t="s">
        <v>24</v>
      </c>
      <c r="D333" s="3">
        <v>44013</v>
      </c>
      <c r="E333" s="1" t="s">
        <v>18</v>
      </c>
      <c r="F333" s="1" t="s">
        <v>19</v>
      </c>
      <c r="G333" s="1">
        <v>87634620706.65</v>
      </c>
    </row>
    <row ht="13.8" outlineLevel="0" r="334">
      <c r="A334" s="1" t="s">
        <v>22</v>
      </c>
      <c r="B334" s="1" t="s">
        <v>23</v>
      </c>
      <c r="C334" s="1" t="s">
        <v>24</v>
      </c>
      <c r="D334" s="3">
        <v>44013</v>
      </c>
      <c r="E334" s="1" t="s">
        <v>16</v>
      </c>
      <c r="F334" s="1" t="s">
        <v>17</v>
      </c>
      <c r="G334" s="1">
        <v>87634620706.65</v>
      </c>
    </row>
    <row ht="13.8" outlineLevel="0" r="335">
      <c r="A335" s="1" t="s">
        <v>22</v>
      </c>
      <c r="B335" s="1" t="s">
        <v>23</v>
      </c>
      <c r="C335" s="1" t="s">
        <v>24</v>
      </c>
      <c r="D335" s="3">
        <v>44013</v>
      </c>
      <c r="E335" s="1" t="s">
        <v>14</v>
      </c>
      <c r="F335" s="1" t="s">
        <v>15</v>
      </c>
      <c r="G335" s="1">
        <v>87750365711.51</v>
      </c>
    </row>
    <row ht="13.8" outlineLevel="0" r="336">
      <c r="A336" s="1" t="s">
        <v>22</v>
      </c>
      <c r="B336" s="1" t="s">
        <v>23</v>
      </c>
      <c r="C336" s="1" t="s">
        <v>24</v>
      </c>
      <c r="D336" s="3">
        <v>44013</v>
      </c>
      <c r="E336" s="1" t="s">
        <v>10</v>
      </c>
      <c r="F336" s="1" t="s">
        <v>11</v>
      </c>
      <c r="G336" s="1">
        <v>160128290154.61</v>
      </c>
    </row>
    <row ht="13.8" outlineLevel="0" r="337">
      <c r="A337" s="1" t="s">
        <v>22</v>
      </c>
      <c r="B337" s="1" t="s">
        <v>23</v>
      </c>
      <c r="C337" s="1" t="s">
        <v>24</v>
      </c>
      <c r="D337" s="3">
        <v>43983</v>
      </c>
      <c r="E337" s="1" t="s">
        <v>10</v>
      </c>
      <c r="F337" s="1" t="s">
        <v>11</v>
      </c>
      <c r="G337" s="1">
        <v>112480859267.5</v>
      </c>
    </row>
    <row ht="13.8" outlineLevel="0" r="338">
      <c r="A338" s="1" t="s">
        <v>22</v>
      </c>
      <c r="B338" s="1" t="s">
        <v>23</v>
      </c>
      <c r="C338" s="1" t="s">
        <v>24</v>
      </c>
      <c r="D338" s="3">
        <v>43983</v>
      </c>
      <c r="E338" s="1" t="s">
        <v>18</v>
      </c>
      <c r="F338" s="1" t="s">
        <v>19</v>
      </c>
      <c r="G338" s="1">
        <v>87606858717.02</v>
      </c>
    </row>
    <row ht="13.8" outlineLevel="0" r="339">
      <c r="A339" s="1" t="s">
        <v>22</v>
      </c>
      <c r="B339" s="1" t="s">
        <v>23</v>
      </c>
      <c r="C339" s="1" t="s">
        <v>24</v>
      </c>
      <c r="D339" s="3">
        <v>43983</v>
      </c>
      <c r="E339" s="1" t="s">
        <v>14</v>
      </c>
      <c r="F339" s="1" t="s">
        <v>15</v>
      </c>
      <c r="G339" s="1">
        <v>87737000711.51</v>
      </c>
    </row>
    <row ht="13.8" outlineLevel="0" r="340">
      <c r="A340" s="1" t="s">
        <v>22</v>
      </c>
      <c r="B340" s="1" t="s">
        <v>23</v>
      </c>
      <c r="C340" s="1" t="s">
        <v>24</v>
      </c>
      <c r="D340" s="3">
        <v>43983</v>
      </c>
      <c r="E340" s="1" t="s">
        <v>16</v>
      </c>
      <c r="F340" s="1" t="s">
        <v>17</v>
      </c>
      <c r="G340" s="1">
        <v>87606858717.02</v>
      </c>
    </row>
    <row ht="13.8" outlineLevel="0" r="341">
      <c r="A341" s="1" t="s">
        <v>22</v>
      </c>
      <c r="B341" s="1" t="s">
        <v>23</v>
      </c>
      <c r="C341" s="1" t="s">
        <v>24</v>
      </c>
      <c r="D341" s="3">
        <v>43952</v>
      </c>
      <c r="E341" s="1" t="s">
        <v>10</v>
      </c>
      <c r="F341" s="1" t="s">
        <v>11</v>
      </c>
      <c r="G341" s="1">
        <v>113453336785</v>
      </c>
    </row>
    <row ht="13.8" outlineLevel="0" r="342">
      <c r="A342" s="1" t="s">
        <v>22</v>
      </c>
      <c r="B342" s="1" t="s">
        <v>23</v>
      </c>
      <c r="C342" s="1" t="s">
        <v>24</v>
      </c>
      <c r="D342" s="3">
        <v>43952</v>
      </c>
      <c r="E342" s="1" t="s">
        <v>16</v>
      </c>
      <c r="F342" s="1" t="s">
        <v>17</v>
      </c>
      <c r="G342" s="1">
        <v>87589795286.28</v>
      </c>
    </row>
    <row ht="13.8" outlineLevel="0" r="343">
      <c r="A343" s="1" t="s">
        <v>22</v>
      </c>
      <c r="B343" s="1" t="s">
        <v>23</v>
      </c>
      <c r="C343" s="1" t="s">
        <v>24</v>
      </c>
      <c r="D343" s="3">
        <v>43952</v>
      </c>
      <c r="E343" s="1" t="s">
        <v>18</v>
      </c>
      <c r="F343" s="1" t="s">
        <v>19</v>
      </c>
      <c r="G343" s="1">
        <v>87589795286.28</v>
      </c>
    </row>
    <row ht="13.8" outlineLevel="0" r="344">
      <c r="A344" s="1" t="s">
        <v>22</v>
      </c>
      <c r="B344" s="1" t="s">
        <v>23</v>
      </c>
      <c r="C344" s="1" t="s">
        <v>24</v>
      </c>
      <c r="D344" s="3">
        <v>43952</v>
      </c>
      <c r="E344" s="1" t="s">
        <v>14</v>
      </c>
      <c r="F344" s="1" t="s">
        <v>15</v>
      </c>
      <c r="G344" s="1">
        <v>87726724511.51</v>
      </c>
    </row>
    <row ht="13.8" outlineLevel="0" r="345">
      <c r="A345" s="1" t="s">
        <v>22</v>
      </c>
      <c r="B345" s="1" t="s">
        <v>23</v>
      </c>
      <c r="C345" s="1" t="s">
        <v>24</v>
      </c>
      <c r="D345" s="3">
        <v>43922</v>
      </c>
      <c r="E345" s="1" t="s">
        <v>18</v>
      </c>
      <c r="F345" s="1" t="s">
        <v>19</v>
      </c>
      <c r="G345" s="1">
        <v>87576618233.06</v>
      </c>
    </row>
    <row ht="13.8" outlineLevel="0" r="346">
      <c r="A346" s="1" t="s">
        <v>22</v>
      </c>
      <c r="B346" s="1" t="s">
        <v>23</v>
      </c>
      <c r="C346" s="1" t="s">
        <v>24</v>
      </c>
      <c r="D346" s="3">
        <v>43922</v>
      </c>
      <c r="E346" s="1" t="s">
        <v>10</v>
      </c>
      <c r="F346" s="1" t="s">
        <v>11</v>
      </c>
      <c r="G346" s="1">
        <v>113453336785</v>
      </c>
    </row>
    <row ht="13.8" outlineLevel="0" r="347">
      <c r="A347" s="1" t="s">
        <v>22</v>
      </c>
      <c r="B347" s="1" t="s">
        <v>23</v>
      </c>
      <c r="C347" s="1" t="s">
        <v>24</v>
      </c>
      <c r="D347" s="3">
        <v>43922</v>
      </c>
      <c r="E347" s="1" t="s">
        <v>16</v>
      </c>
      <c r="F347" s="1" t="s">
        <v>17</v>
      </c>
      <c r="G347" s="1">
        <v>87576618233.06</v>
      </c>
    </row>
    <row ht="13.8" outlineLevel="0" r="348">
      <c r="A348" s="1" t="s">
        <v>22</v>
      </c>
      <c r="B348" s="1" t="s">
        <v>23</v>
      </c>
      <c r="C348" s="1" t="s">
        <v>24</v>
      </c>
      <c r="D348" s="3">
        <v>43922</v>
      </c>
      <c r="E348" s="1" t="s">
        <v>14</v>
      </c>
      <c r="F348" s="1" t="s">
        <v>15</v>
      </c>
      <c r="G348" s="1">
        <v>87725999511.51</v>
      </c>
    </row>
    <row ht="13.8" outlineLevel="0" r="349">
      <c r="A349" s="1" t="s">
        <v>22</v>
      </c>
      <c r="B349" s="1" t="s">
        <v>23</v>
      </c>
      <c r="C349" s="1" t="s">
        <v>24</v>
      </c>
      <c r="D349" s="3">
        <v>43891</v>
      </c>
      <c r="E349" s="1" t="s">
        <v>16</v>
      </c>
      <c r="F349" s="1" t="s">
        <v>17</v>
      </c>
      <c r="G349" s="1">
        <v>87561659095.5</v>
      </c>
    </row>
    <row ht="13.8" outlineLevel="0" r="350">
      <c r="A350" s="1" t="s">
        <v>22</v>
      </c>
      <c r="B350" s="1" t="s">
        <v>23</v>
      </c>
      <c r="C350" s="1" t="s">
        <v>24</v>
      </c>
      <c r="D350" s="3">
        <v>43891</v>
      </c>
      <c r="E350" s="1" t="s">
        <v>18</v>
      </c>
      <c r="F350" s="1" t="s">
        <v>19</v>
      </c>
      <c r="G350" s="1">
        <v>87561659095.5</v>
      </c>
    </row>
    <row ht="13.8" outlineLevel="0" r="351">
      <c r="A351" s="1" t="s">
        <v>22</v>
      </c>
      <c r="B351" s="1" t="s">
        <v>23</v>
      </c>
      <c r="C351" s="1" t="s">
        <v>24</v>
      </c>
      <c r="D351" s="3">
        <v>43891</v>
      </c>
      <c r="E351" s="1" t="s">
        <v>14</v>
      </c>
      <c r="F351" s="1" t="s">
        <v>15</v>
      </c>
      <c r="G351" s="1">
        <v>87725999511.51</v>
      </c>
    </row>
    <row ht="13.8" outlineLevel="0" r="352">
      <c r="A352" s="1" t="s">
        <v>22</v>
      </c>
      <c r="B352" s="1" t="s">
        <v>23</v>
      </c>
      <c r="C352" s="1" t="s">
        <v>24</v>
      </c>
      <c r="D352" s="3">
        <v>43891</v>
      </c>
      <c r="E352" s="1" t="s">
        <v>10</v>
      </c>
      <c r="F352" s="1" t="s">
        <v>11</v>
      </c>
      <c r="G352" s="1">
        <v>277857448493</v>
      </c>
    </row>
    <row ht="13.8" outlineLevel="0" r="353">
      <c r="A353" s="1" t="s">
        <v>22</v>
      </c>
      <c r="B353" s="1" t="s">
        <v>23</v>
      </c>
      <c r="C353" s="1" t="s">
        <v>24</v>
      </c>
      <c r="D353" s="3">
        <v>43862</v>
      </c>
      <c r="E353" s="1" t="s">
        <v>18</v>
      </c>
      <c r="F353" s="1" t="s">
        <v>19</v>
      </c>
      <c r="G353" s="1">
        <v>26727739219.27</v>
      </c>
    </row>
    <row ht="13.8" outlineLevel="0" r="354">
      <c r="A354" s="1" t="s">
        <v>22</v>
      </c>
      <c r="B354" s="1" t="s">
        <v>23</v>
      </c>
      <c r="C354" s="1" t="s">
        <v>24</v>
      </c>
      <c r="D354" s="3">
        <v>43862</v>
      </c>
      <c r="E354" s="1" t="s">
        <v>16</v>
      </c>
      <c r="F354" s="1" t="s">
        <v>17</v>
      </c>
      <c r="G354" s="1">
        <v>26727739219.27</v>
      </c>
    </row>
    <row ht="13.8" outlineLevel="0" r="355">
      <c r="A355" s="1" t="s">
        <v>22</v>
      </c>
      <c r="B355" s="1" t="s">
        <v>23</v>
      </c>
      <c r="C355" s="1" t="s">
        <v>24</v>
      </c>
      <c r="D355" s="3">
        <v>43862</v>
      </c>
      <c r="E355" s="1" t="s">
        <v>14</v>
      </c>
      <c r="F355" s="1" t="s">
        <v>15</v>
      </c>
      <c r="G355" s="1">
        <v>27037892605.51</v>
      </c>
    </row>
    <row ht="13.8" outlineLevel="0" r="356">
      <c r="A356" s="1" t="s">
        <v>22</v>
      </c>
      <c r="B356" s="1" t="s">
        <v>23</v>
      </c>
      <c r="C356" s="1" t="s">
        <v>24</v>
      </c>
      <c r="D356" s="3">
        <v>43862</v>
      </c>
      <c r="E356" s="1" t="s">
        <v>10</v>
      </c>
      <c r="F356" s="1" t="s">
        <v>11</v>
      </c>
      <c r="G356" s="1">
        <v>277778623401</v>
      </c>
    </row>
    <row ht="13.8" outlineLevel="0" r="357">
      <c r="A357" s="1" t="s">
        <v>22</v>
      </c>
      <c r="B357" s="1" t="s">
        <v>23</v>
      </c>
      <c r="C357" s="1" t="s">
        <v>24</v>
      </c>
      <c r="D357" s="3">
        <v>43831</v>
      </c>
      <c r="E357" s="1" t="s">
        <v>14</v>
      </c>
      <c r="F357" s="1" t="s">
        <v>15</v>
      </c>
      <c r="G357" s="1">
        <v>26904692523.01</v>
      </c>
    </row>
    <row ht="13.8" outlineLevel="0" r="358">
      <c r="A358" s="1" t="s">
        <v>22</v>
      </c>
      <c r="B358" s="1" t="s">
        <v>23</v>
      </c>
      <c r="C358" s="1" t="s">
        <v>24</v>
      </c>
      <c r="D358" s="3">
        <v>43831</v>
      </c>
      <c r="E358" s="1" t="s">
        <v>16</v>
      </c>
      <c r="F358" s="1" t="s">
        <v>17</v>
      </c>
      <c r="G358" s="1">
        <v>26711316724.07</v>
      </c>
    </row>
    <row ht="13.8" outlineLevel="0" r="359">
      <c r="A359" s="1" t="s">
        <v>22</v>
      </c>
      <c r="B359" s="1" t="s">
        <v>23</v>
      </c>
      <c r="C359" s="1" t="s">
        <v>24</v>
      </c>
      <c r="D359" s="3">
        <v>43831</v>
      </c>
      <c r="E359" s="1" t="s">
        <v>18</v>
      </c>
      <c r="F359" s="1" t="s">
        <v>19</v>
      </c>
      <c r="G359" s="1">
        <v>26711316724.07</v>
      </c>
    </row>
    <row ht="13.8" outlineLevel="0" r="360">
      <c r="A360" s="1" t="s">
        <v>22</v>
      </c>
      <c r="B360" s="1" t="s">
        <v>23</v>
      </c>
      <c r="C360" s="1" t="s">
        <v>24</v>
      </c>
      <c r="D360" s="3">
        <v>43831</v>
      </c>
      <c r="E360" s="1" t="s">
        <v>10</v>
      </c>
      <c r="F360" s="1" t="s">
        <v>11</v>
      </c>
      <c r="G360" s="1">
        <v>277778623401</v>
      </c>
    </row>
    <row ht="13.8" outlineLevel="0" r="361">
      <c r="A361" s="1" t="s">
        <v>22</v>
      </c>
      <c r="B361" s="1" t="s">
        <v>23</v>
      </c>
      <c r="C361" s="1" t="s">
        <v>24</v>
      </c>
      <c r="D361" s="3">
        <v>43800</v>
      </c>
      <c r="E361" s="1" t="s">
        <v>10</v>
      </c>
      <c r="F361" s="1" t="s">
        <v>11</v>
      </c>
      <c r="G361" s="1">
        <v>311247580719</v>
      </c>
    </row>
    <row ht="13.8" outlineLevel="0" r="362">
      <c r="A362" s="1" t="s">
        <v>22</v>
      </c>
      <c r="B362" s="1" t="s">
        <v>23</v>
      </c>
      <c r="C362" s="1" t="s">
        <v>24</v>
      </c>
      <c r="D362" s="3">
        <v>43800</v>
      </c>
      <c r="E362" s="1" t="s">
        <v>14</v>
      </c>
      <c r="F362" s="1" t="s">
        <v>15</v>
      </c>
      <c r="G362" s="1">
        <v>275754252586.02</v>
      </c>
    </row>
    <row ht="13.8" outlineLevel="0" r="363">
      <c r="A363" s="1" t="s">
        <v>22</v>
      </c>
      <c r="B363" s="1" t="s">
        <v>23</v>
      </c>
      <c r="C363" s="1" t="s">
        <v>24</v>
      </c>
      <c r="D363" s="3">
        <v>43800</v>
      </c>
      <c r="E363" s="1" t="s">
        <v>20</v>
      </c>
      <c r="F363" s="1" t="s">
        <v>21</v>
      </c>
      <c r="G363" s="1">
        <v>51958206.26</v>
      </c>
    </row>
    <row ht="13.8" outlineLevel="0" r="364">
      <c r="A364" s="1" t="s">
        <v>22</v>
      </c>
      <c r="B364" s="1" t="s">
        <v>23</v>
      </c>
      <c r="C364" s="1" t="s">
        <v>24</v>
      </c>
      <c r="D364" s="3">
        <v>43800</v>
      </c>
      <c r="E364" s="1" t="s">
        <v>18</v>
      </c>
      <c r="F364" s="1" t="s">
        <v>19</v>
      </c>
      <c r="G364" s="1">
        <v>275694121156.12</v>
      </c>
    </row>
    <row ht="13.8" outlineLevel="0" r="365">
      <c r="A365" s="1" t="s">
        <v>22</v>
      </c>
      <c r="B365" s="1" t="s">
        <v>23</v>
      </c>
      <c r="C365" s="1" t="s">
        <v>24</v>
      </c>
      <c r="D365" s="3">
        <v>43800</v>
      </c>
      <c r="E365" s="1" t="s">
        <v>16</v>
      </c>
      <c r="F365" s="1" t="s">
        <v>17</v>
      </c>
      <c r="G365" s="1">
        <v>275702294379.76</v>
      </c>
    </row>
    <row ht="13.8" outlineLevel="0" r="366">
      <c r="A366" s="1" t="s">
        <v>22</v>
      </c>
      <c r="B366" s="1" t="s">
        <v>23</v>
      </c>
      <c r="C366" s="1" t="s">
        <v>24</v>
      </c>
      <c r="D366" s="3">
        <v>43770</v>
      </c>
      <c r="E366" s="1" t="s">
        <v>14</v>
      </c>
      <c r="F366" s="1" t="s">
        <v>15</v>
      </c>
      <c r="G366" s="1">
        <v>276489765432.03</v>
      </c>
    </row>
    <row ht="13.8" outlineLevel="0" r="367">
      <c r="A367" s="1" t="s">
        <v>22</v>
      </c>
      <c r="B367" s="1" t="s">
        <v>23</v>
      </c>
      <c r="C367" s="1" t="s">
        <v>24</v>
      </c>
      <c r="D367" s="3">
        <v>43770</v>
      </c>
      <c r="E367" s="1" t="s">
        <v>18</v>
      </c>
      <c r="F367" s="1" t="s">
        <v>19</v>
      </c>
      <c r="G367" s="1">
        <v>275668273130.02</v>
      </c>
    </row>
    <row ht="13.8" outlineLevel="0" r="368">
      <c r="A368" s="1" t="s">
        <v>22</v>
      </c>
      <c r="B368" s="1" t="s">
        <v>23</v>
      </c>
      <c r="C368" s="1" t="s">
        <v>24</v>
      </c>
      <c r="D368" s="3">
        <v>43770</v>
      </c>
      <c r="E368" s="1" t="s">
        <v>16</v>
      </c>
      <c r="F368" s="1" t="s">
        <v>17</v>
      </c>
      <c r="G368" s="1">
        <v>275668273130.02</v>
      </c>
    </row>
    <row ht="13.8" outlineLevel="0" r="369">
      <c r="A369" s="1" t="s">
        <v>22</v>
      </c>
      <c r="B369" s="1" t="s">
        <v>23</v>
      </c>
      <c r="C369" s="1" t="s">
        <v>24</v>
      </c>
      <c r="D369" s="3">
        <v>43770</v>
      </c>
      <c r="E369" s="1" t="s">
        <v>10</v>
      </c>
      <c r="F369" s="1" t="s">
        <v>11</v>
      </c>
      <c r="G369" s="1">
        <v>311538775601.84</v>
      </c>
    </row>
    <row ht="13.8" outlineLevel="0" r="370">
      <c r="A370" s="1" t="s">
        <v>22</v>
      </c>
      <c r="B370" s="1" t="s">
        <v>23</v>
      </c>
      <c r="C370" s="1" t="s">
        <v>24</v>
      </c>
      <c r="D370" s="3">
        <v>43739</v>
      </c>
      <c r="E370" s="1" t="s">
        <v>18</v>
      </c>
      <c r="F370" s="1" t="s">
        <v>19</v>
      </c>
      <c r="G370" s="1">
        <v>275643428880.33</v>
      </c>
    </row>
    <row ht="13.8" outlineLevel="0" r="371">
      <c r="A371" s="1" t="s">
        <v>22</v>
      </c>
      <c r="B371" s="1" t="s">
        <v>23</v>
      </c>
      <c r="C371" s="1" t="s">
        <v>24</v>
      </c>
      <c r="D371" s="3">
        <v>43739</v>
      </c>
      <c r="E371" s="1" t="s">
        <v>16</v>
      </c>
      <c r="F371" s="1" t="s">
        <v>17</v>
      </c>
      <c r="G371" s="1">
        <v>275643428880.33</v>
      </c>
    </row>
    <row ht="13.8" outlineLevel="0" r="372">
      <c r="A372" s="1" t="s">
        <v>22</v>
      </c>
      <c r="B372" s="1" t="s">
        <v>23</v>
      </c>
      <c r="C372" s="1" t="s">
        <v>24</v>
      </c>
      <c r="D372" s="3">
        <v>43739</v>
      </c>
      <c r="E372" s="1" t="s">
        <v>10</v>
      </c>
      <c r="F372" s="1" t="s">
        <v>11</v>
      </c>
      <c r="G372" s="1">
        <v>311538775601.84</v>
      </c>
    </row>
    <row ht="13.8" outlineLevel="0" r="373">
      <c r="A373" s="1" t="s">
        <v>22</v>
      </c>
      <c r="B373" s="1" t="s">
        <v>23</v>
      </c>
      <c r="C373" s="1" t="s">
        <v>24</v>
      </c>
      <c r="D373" s="3">
        <v>43739</v>
      </c>
      <c r="E373" s="1" t="s">
        <v>14</v>
      </c>
      <c r="F373" s="1" t="s">
        <v>15</v>
      </c>
      <c r="G373" s="1">
        <v>276489765432.03</v>
      </c>
    </row>
    <row ht="13.8" outlineLevel="0" r="374">
      <c r="A374" s="1" t="s">
        <v>22</v>
      </c>
      <c r="B374" s="1" t="s">
        <v>23</v>
      </c>
      <c r="C374" s="1" t="s">
        <v>24</v>
      </c>
      <c r="D374" s="3">
        <v>43709</v>
      </c>
      <c r="E374" s="1" t="s">
        <v>10</v>
      </c>
      <c r="F374" s="1" t="s">
        <v>11</v>
      </c>
      <c r="G374" s="1">
        <v>332538775601.84</v>
      </c>
    </row>
    <row ht="13.8" outlineLevel="0" r="375">
      <c r="A375" s="1" t="s">
        <v>22</v>
      </c>
      <c r="B375" s="1" t="s">
        <v>23</v>
      </c>
      <c r="C375" s="1" t="s">
        <v>24</v>
      </c>
      <c r="D375" s="3">
        <v>43709</v>
      </c>
      <c r="E375" s="1" t="s">
        <v>16</v>
      </c>
      <c r="F375" s="1" t="s">
        <v>17</v>
      </c>
      <c r="G375" s="1">
        <v>228809538567.69</v>
      </c>
    </row>
    <row ht="13.8" outlineLevel="0" r="376">
      <c r="A376" s="1" t="s">
        <v>22</v>
      </c>
      <c r="B376" s="1" t="s">
        <v>23</v>
      </c>
      <c r="C376" s="1" t="s">
        <v>24</v>
      </c>
      <c r="D376" s="3">
        <v>43709</v>
      </c>
      <c r="E376" s="1" t="s">
        <v>14</v>
      </c>
      <c r="F376" s="1" t="s">
        <v>15</v>
      </c>
      <c r="G376" s="1">
        <v>229681010862.92</v>
      </c>
    </row>
    <row ht="13.8" outlineLevel="0" r="377">
      <c r="A377" s="1" t="s">
        <v>22</v>
      </c>
      <c r="B377" s="1" t="s">
        <v>23</v>
      </c>
      <c r="C377" s="1" t="s">
        <v>24</v>
      </c>
      <c r="D377" s="3">
        <v>43709</v>
      </c>
      <c r="E377" s="1" t="s">
        <v>18</v>
      </c>
      <c r="F377" s="1" t="s">
        <v>19</v>
      </c>
      <c r="G377" s="1">
        <v>228809538567.69</v>
      </c>
    </row>
    <row ht="13.8" outlineLevel="0" r="378">
      <c r="A378" s="1" t="s">
        <v>22</v>
      </c>
      <c r="B378" s="1" t="s">
        <v>23</v>
      </c>
      <c r="C378" s="1" t="s">
        <v>24</v>
      </c>
      <c r="D378" s="3">
        <v>43678</v>
      </c>
      <c r="E378" s="1" t="s">
        <v>10</v>
      </c>
      <c r="F378" s="1" t="s">
        <v>11</v>
      </c>
      <c r="G378" s="1">
        <v>332538475601.84</v>
      </c>
    </row>
    <row ht="13.8" outlineLevel="0" r="379">
      <c r="A379" s="1" t="s">
        <v>22</v>
      </c>
      <c r="B379" s="1" t="s">
        <v>23</v>
      </c>
      <c r="C379" s="1" t="s">
        <v>24</v>
      </c>
      <c r="D379" s="3">
        <v>43678</v>
      </c>
      <c r="E379" s="1" t="s">
        <v>14</v>
      </c>
      <c r="F379" s="1" t="s">
        <v>15</v>
      </c>
      <c r="G379" s="1">
        <v>229680710862.92</v>
      </c>
    </row>
    <row ht="13.8" outlineLevel="0" r="380">
      <c r="A380" s="1" t="s">
        <v>22</v>
      </c>
      <c r="B380" s="1" t="s">
        <v>23</v>
      </c>
      <c r="C380" s="1" t="s">
        <v>24</v>
      </c>
      <c r="D380" s="3">
        <v>43678</v>
      </c>
      <c r="E380" s="1" t="s">
        <v>18</v>
      </c>
      <c r="F380" s="1" t="s">
        <v>19</v>
      </c>
      <c r="G380" s="1">
        <v>228784260622.93</v>
      </c>
    </row>
    <row ht="13.8" outlineLevel="0" r="381">
      <c r="A381" s="1" t="s">
        <v>22</v>
      </c>
      <c r="B381" s="1" t="s">
        <v>23</v>
      </c>
      <c r="C381" s="1" t="s">
        <v>24</v>
      </c>
      <c r="D381" s="3">
        <v>43678</v>
      </c>
      <c r="E381" s="1" t="s">
        <v>16</v>
      </c>
      <c r="F381" s="1" t="s">
        <v>17</v>
      </c>
      <c r="G381" s="1">
        <v>228784260622.93</v>
      </c>
    </row>
    <row ht="13.8" outlineLevel="0" r="382">
      <c r="A382" s="1" t="s">
        <v>22</v>
      </c>
      <c r="B382" s="1" t="s">
        <v>23</v>
      </c>
      <c r="C382" s="1" t="s">
        <v>24</v>
      </c>
      <c r="D382" s="3">
        <v>43647</v>
      </c>
      <c r="E382" s="1" t="s">
        <v>10</v>
      </c>
      <c r="F382" s="1" t="s">
        <v>11</v>
      </c>
      <c r="G382" s="1">
        <v>332538475601.84</v>
      </c>
    </row>
    <row ht="13.8" outlineLevel="0" r="383">
      <c r="A383" s="1" t="s">
        <v>22</v>
      </c>
      <c r="B383" s="1" t="s">
        <v>23</v>
      </c>
      <c r="C383" s="1" t="s">
        <v>24</v>
      </c>
      <c r="D383" s="3">
        <v>43647</v>
      </c>
      <c r="E383" s="1" t="s">
        <v>18</v>
      </c>
      <c r="F383" s="1" t="s">
        <v>19</v>
      </c>
      <c r="G383" s="1">
        <v>228757694120.21</v>
      </c>
    </row>
    <row ht="13.8" outlineLevel="0" r="384">
      <c r="A384" s="1" t="s">
        <v>22</v>
      </c>
      <c r="B384" s="1" t="s">
        <v>23</v>
      </c>
      <c r="C384" s="1" t="s">
        <v>24</v>
      </c>
      <c r="D384" s="3">
        <v>43647</v>
      </c>
      <c r="E384" s="1" t="s">
        <v>16</v>
      </c>
      <c r="F384" s="1" t="s">
        <v>17</v>
      </c>
      <c r="G384" s="1">
        <v>228757694120.21</v>
      </c>
    </row>
    <row ht="13.8" outlineLevel="0" r="385">
      <c r="A385" s="1" t="s">
        <v>22</v>
      </c>
      <c r="B385" s="1" t="s">
        <v>23</v>
      </c>
      <c r="C385" s="1" t="s">
        <v>24</v>
      </c>
      <c r="D385" s="3">
        <v>43647</v>
      </c>
      <c r="E385" s="1" t="s">
        <v>14</v>
      </c>
      <c r="F385" s="1" t="s">
        <v>15</v>
      </c>
      <c r="G385" s="1">
        <v>229680710862.92</v>
      </c>
    </row>
    <row ht="13.8" outlineLevel="0" r="386">
      <c r="A386" s="1" t="s">
        <v>22</v>
      </c>
      <c r="B386" s="1" t="s">
        <v>23</v>
      </c>
      <c r="C386" s="1" t="s">
        <v>24</v>
      </c>
      <c r="D386" s="3">
        <v>43617</v>
      </c>
      <c r="E386" s="1" t="s">
        <v>16</v>
      </c>
      <c r="F386" s="1" t="s">
        <v>17</v>
      </c>
      <c r="G386" s="1">
        <v>167730854332.03</v>
      </c>
    </row>
    <row ht="13.8" outlineLevel="0" r="387">
      <c r="A387" s="1" t="s">
        <v>22</v>
      </c>
      <c r="B387" s="1" t="s">
        <v>23</v>
      </c>
      <c r="C387" s="1" t="s">
        <v>24</v>
      </c>
      <c r="D387" s="3">
        <v>43617</v>
      </c>
      <c r="E387" s="1" t="s">
        <v>18</v>
      </c>
      <c r="F387" s="1" t="s">
        <v>19</v>
      </c>
      <c r="G387" s="1">
        <v>167730854332.03</v>
      </c>
    </row>
    <row ht="13.8" outlineLevel="0" r="388">
      <c r="A388" s="1" t="s">
        <v>22</v>
      </c>
      <c r="B388" s="1" t="s">
        <v>23</v>
      </c>
      <c r="C388" s="1" t="s">
        <v>24</v>
      </c>
      <c r="D388" s="3">
        <v>43617</v>
      </c>
      <c r="E388" s="1" t="s">
        <v>10</v>
      </c>
      <c r="F388" s="1" t="s">
        <v>11</v>
      </c>
      <c r="G388" s="1">
        <v>332538475601.84</v>
      </c>
    </row>
    <row ht="13.8" outlineLevel="0" r="389">
      <c r="A389" s="1" t="s">
        <v>22</v>
      </c>
      <c r="B389" s="1" t="s">
        <v>23</v>
      </c>
      <c r="C389" s="1" t="s">
        <v>24</v>
      </c>
      <c r="D389" s="3">
        <v>43617</v>
      </c>
      <c r="E389" s="1" t="s">
        <v>14</v>
      </c>
      <c r="F389" s="1" t="s">
        <v>15</v>
      </c>
      <c r="G389" s="1">
        <v>168680710862.92</v>
      </c>
    </row>
    <row ht="13.8" outlineLevel="0" r="390">
      <c r="A390" s="1" t="s">
        <v>22</v>
      </c>
      <c r="B390" s="1" t="s">
        <v>23</v>
      </c>
      <c r="C390" s="1" t="s">
        <v>24</v>
      </c>
      <c r="D390" s="3">
        <v>43586</v>
      </c>
      <c r="E390" s="1" t="s">
        <v>14</v>
      </c>
      <c r="F390" s="1" t="s">
        <v>15</v>
      </c>
      <c r="G390" s="1">
        <v>168680710862.92</v>
      </c>
    </row>
    <row ht="13.8" outlineLevel="0" r="391">
      <c r="A391" s="1" t="s">
        <v>22</v>
      </c>
      <c r="B391" s="1" t="s">
        <v>23</v>
      </c>
      <c r="C391" s="1" t="s">
        <v>24</v>
      </c>
      <c r="D391" s="3">
        <v>43586</v>
      </c>
      <c r="E391" s="1" t="s">
        <v>18</v>
      </c>
      <c r="F391" s="1" t="s">
        <v>19</v>
      </c>
      <c r="G391" s="1">
        <v>167704319092.2</v>
      </c>
    </row>
    <row ht="13.8" outlineLevel="0" r="392">
      <c r="A392" s="1" t="s">
        <v>22</v>
      </c>
      <c r="B392" s="1" t="s">
        <v>23</v>
      </c>
      <c r="C392" s="1" t="s">
        <v>24</v>
      </c>
      <c r="D392" s="3">
        <v>43586</v>
      </c>
      <c r="E392" s="1" t="s">
        <v>10</v>
      </c>
      <c r="F392" s="1" t="s">
        <v>11</v>
      </c>
      <c r="G392" s="1">
        <v>302947404271</v>
      </c>
    </row>
    <row ht="13.8" outlineLevel="0" r="393">
      <c r="A393" s="1" t="s">
        <v>22</v>
      </c>
      <c r="B393" s="1" t="s">
        <v>23</v>
      </c>
      <c r="C393" s="1" t="s">
        <v>24</v>
      </c>
      <c r="D393" s="3">
        <v>43586</v>
      </c>
      <c r="E393" s="1" t="s">
        <v>16</v>
      </c>
      <c r="F393" s="1" t="s">
        <v>17</v>
      </c>
      <c r="G393" s="1">
        <v>167704319092.2</v>
      </c>
    </row>
    <row ht="13.8" outlineLevel="0" r="394">
      <c r="A394" s="1" t="s">
        <v>22</v>
      </c>
      <c r="B394" s="1" t="s">
        <v>23</v>
      </c>
      <c r="C394" s="1" t="s">
        <v>24</v>
      </c>
      <c r="D394" s="3">
        <v>43556</v>
      </c>
      <c r="E394" s="1" t="s">
        <v>18</v>
      </c>
      <c r="F394" s="1" t="s">
        <v>19</v>
      </c>
      <c r="G394" s="1">
        <v>48533608164.06</v>
      </c>
    </row>
    <row ht="13.8" outlineLevel="0" r="395">
      <c r="A395" s="1" t="s">
        <v>22</v>
      </c>
      <c r="B395" s="1" t="s">
        <v>23</v>
      </c>
      <c r="C395" s="1" t="s">
        <v>24</v>
      </c>
      <c r="D395" s="3">
        <v>43556</v>
      </c>
      <c r="E395" s="1" t="s">
        <v>16</v>
      </c>
      <c r="F395" s="1" t="s">
        <v>17</v>
      </c>
      <c r="G395" s="1">
        <v>48533608164.06</v>
      </c>
    </row>
    <row ht="13.8" outlineLevel="0" r="396">
      <c r="A396" s="1" t="s">
        <v>22</v>
      </c>
      <c r="B396" s="1" t="s">
        <v>23</v>
      </c>
      <c r="C396" s="1" t="s">
        <v>24</v>
      </c>
      <c r="D396" s="3">
        <v>43556</v>
      </c>
      <c r="E396" s="1" t="s">
        <v>14</v>
      </c>
      <c r="F396" s="1" t="s">
        <v>15</v>
      </c>
      <c r="G396" s="1">
        <v>53279405345.48</v>
      </c>
    </row>
    <row ht="13.8" outlineLevel="0" r="397">
      <c r="A397" s="1" t="s">
        <v>22</v>
      </c>
      <c r="B397" s="1" t="s">
        <v>23</v>
      </c>
      <c r="C397" s="1" t="s">
        <v>24</v>
      </c>
      <c r="D397" s="3">
        <v>43556</v>
      </c>
      <c r="E397" s="1" t="s">
        <v>10</v>
      </c>
      <c r="F397" s="1" t="s">
        <v>11</v>
      </c>
      <c r="G397" s="1">
        <v>305673371655</v>
      </c>
    </row>
    <row ht="13.8" outlineLevel="0" r="398">
      <c r="A398" s="1" t="s">
        <v>22</v>
      </c>
      <c r="B398" s="1" t="s">
        <v>23</v>
      </c>
      <c r="C398" s="1" t="s">
        <v>24</v>
      </c>
      <c r="D398" s="3">
        <v>43525</v>
      </c>
      <c r="E398" s="1" t="s">
        <v>18</v>
      </c>
      <c r="F398" s="1" t="s">
        <v>19</v>
      </c>
      <c r="G398" s="1">
        <v>38540468935.89</v>
      </c>
    </row>
    <row ht="13.8" outlineLevel="0" r="399">
      <c r="A399" s="1" t="s">
        <v>22</v>
      </c>
      <c r="B399" s="1" t="s">
        <v>23</v>
      </c>
      <c r="C399" s="1" t="s">
        <v>24</v>
      </c>
      <c r="D399" s="3">
        <v>43525</v>
      </c>
      <c r="E399" s="1" t="s">
        <v>14</v>
      </c>
      <c r="F399" s="1" t="s">
        <v>15</v>
      </c>
      <c r="G399" s="1">
        <v>44529405345.48</v>
      </c>
    </row>
    <row ht="13.8" outlineLevel="0" r="400">
      <c r="A400" s="1" t="s">
        <v>22</v>
      </c>
      <c r="B400" s="1" t="s">
        <v>23</v>
      </c>
      <c r="C400" s="1" t="s">
        <v>24</v>
      </c>
      <c r="D400" s="3">
        <v>43525</v>
      </c>
      <c r="E400" s="1" t="s">
        <v>10</v>
      </c>
      <c r="F400" s="1" t="s">
        <v>11</v>
      </c>
      <c r="G400" s="1">
        <v>289062593614</v>
      </c>
    </row>
    <row ht="13.8" outlineLevel="0" r="401">
      <c r="A401" s="1" t="s">
        <v>22</v>
      </c>
      <c r="B401" s="1" t="s">
        <v>23</v>
      </c>
      <c r="C401" s="1" t="s">
        <v>24</v>
      </c>
      <c r="D401" s="3">
        <v>43525</v>
      </c>
      <c r="E401" s="1" t="s">
        <v>16</v>
      </c>
      <c r="F401" s="1" t="s">
        <v>17</v>
      </c>
      <c r="G401" s="1">
        <v>38540468935.89</v>
      </c>
    </row>
    <row ht="13.8" outlineLevel="0" r="402">
      <c r="A402" s="1" t="s">
        <v>22</v>
      </c>
      <c r="B402" s="1" t="s">
        <v>23</v>
      </c>
      <c r="C402" s="1" t="s">
        <v>24</v>
      </c>
      <c r="D402" s="3">
        <v>43497</v>
      </c>
      <c r="E402" s="1" t="s">
        <v>16</v>
      </c>
      <c r="F402" s="1" t="s">
        <v>17</v>
      </c>
      <c r="G402" s="1">
        <v>30772031950.51</v>
      </c>
    </row>
    <row ht="13.8" outlineLevel="0" r="403">
      <c r="A403" s="1" t="s">
        <v>22</v>
      </c>
      <c r="B403" s="1" t="s">
        <v>23</v>
      </c>
      <c r="C403" s="1" t="s">
        <v>24</v>
      </c>
      <c r="D403" s="3">
        <v>43497</v>
      </c>
      <c r="E403" s="1" t="s">
        <v>10</v>
      </c>
      <c r="F403" s="1" t="s">
        <v>11</v>
      </c>
      <c r="G403" s="1">
        <v>288962593614</v>
      </c>
    </row>
    <row ht="13.8" outlineLevel="0" r="404">
      <c r="A404" s="1" t="s">
        <v>22</v>
      </c>
      <c r="B404" s="1" t="s">
        <v>23</v>
      </c>
      <c r="C404" s="1" t="s">
        <v>24</v>
      </c>
      <c r="D404" s="3">
        <v>43497</v>
      </c>
      <c r="E404" s="1" t="s">
        <v>14</v>
      </c>
      <c r="F404" s="1" t="s">
        <v>15</v>
      </c>
      <c r="G404" s="1">
        <v>34529405345.48</v>
      </c>
    </row>
    <row ht="13.8" outlineLevel="0" r="405">
      <c r="A405" s="1" t="s">
        <v>22</v>
      </c>
      <c r="B405" s="1" t="s">
        <v>23</v>
      </c>
      <c r="C405" s="1" t="s">
        <v>24</v>
      </c>
      <c r="D405" s="3">
        <v>43497</v>
      </c>
      <c r="E405" s="1" t="s">
        <v>18</v>
      </c>
      <c r="F405" s="1" t="s">
        <v>19</v>
      </c>
      <c r="G405" s="1">
        <v>30772031950.51</v>
      </c>
    </row>
    <row ht="13.8" outlineLevel="0" r="406">
      <c r="A406" s="1" t="s">
        <v>22</v>
      </c>
      <c r="B406" s="1" t="s">
        <v>23</v>
      </c>
      <c r="C406" s="1" t="s">
        <v>24</v>
      </c>
      <c r="D406" s="3">
        <v>43466</v>
      </c>
      <c r="E406" s="1" t="s">
        <v>14</v>
      </c>
      <c r="F406" s="1" t="s">
        <v>15</v>
      </c>
      <c r="G406" s="1">
        <v>31529405345.48</v>
      </c>
    </row>
    <row ht="13.8" outlineLevel="0" r="407">
      <c r="A407" s="1" t="s">
        <v>22</v>
      </c>
      <c r="B407" s="1" t="s">
        <v>23</v>
      </c>
      <c r="C407" s="1" t="s">
        <v>24</v>
      </c>
      <c r="D407" s="3">
        <v>43466</v>
      </c>
      <c r="E407" s="1" t="s">
        <v>10</v>
      </c>
      <c r="F407" s="1" t="s">
        <v>11</v>
      </c>
      <c r="G407" s="1">
        <v>288368841214</v>
      </c>
    </row>
    <row ht="13.8" outlineLevel="0" r="408">
      <c r="A408" s="1" t="s">
        <v>22</v>
      </c>
      <c r="B408" s="1" t="s">
        <v>23</v>
      </c>
      <c r="C408" s="1" t="s">
        <v>24</v>
      </c>
      <c r="D408" s="3">
        <v>43466</v>
      </c>
      <c r="E408" s="1" t="s">
        <v>16</v>
      </c>
      <c r="F408" s="1" t="s">
        <v>17</v>
      </c>
      <c r="G408" s="1">
        <v>30699738529.81</v>
      </c>
    </row>
    <row ht="13.8" outlineLevel="0" r="409">
      <c r="A409" s="1" t="s">
        <v>22</v>
      </c>
      <c r="B409" s="1" t="s">
        <v>23</v>
      </c>
      <c r="C409" s="1" t="s">
        <v>24</v>
      </c>
      <c r="D409" s="3">
        <v>43466</v>
      </c>
      <c r="E409" s="1" t="s">
        <v>18</v>
      </c>
      <c r="F409" s="1" t="s">
        <v>19</v>
      </c>
      <c r="G409" s="1">
        <v>30699738529.81</v>
      </c>
    </row>
    <row ht="13.8" outlineLevel="0" r="410">
      <c r="A410" s="1" t="s">
        <v>25</v>
      </c>
      <c r="B410" s="1" t="s">
        <v>23</v>
      </c>
      <c r="C410" s="1" t="s">
        <v>24</v>
      </c>
      <c r="D410" s="3">
        <v>44197</v>
      </c>
      <c r="E410" s="1" t="s">
        <v>10</v>
      </c>
      <c r="F410" s="1" t="s">
        <v>11</v>
      </c>
      <c r="G410" s="1">
        <v>1572015436493</v>
      </c>
    </row>
    <row ht="13.8" outlineLevel="0" r="411">
      <c r="A411" s="1" t="s">
        <v>25</v>
      </c>
      <c r="B411" s="1" t="s">
        <v>23</v>
      </c>
      <c r="C411" s="1" t="s">
        <v>24</v>
      </c>
      <c r="D411" s="3">
        <v>44197</v>
      </c>
      <c r="E411" s="1" t="s">
        <v>18</v>
      </c>
      <c r="F411" s="1" t="s">
        <v>19</v>
      </c>
      <c r="G411" s="1">
        <v>220811420174.94</v>
      </c>
    </row>
    <row ht="13.8" outlineLevel="0" r="412">
      <c r="A412" s="1" t="s">
        <v>25</v>
      </c>
      <c r="B412" s="1" t="s">
        <v>23</v>
      </c>
      <c r="C412" s="1" t="s">
        <v>24</v>
      </c>
      <c r="D412" s="3">
        <v>44197</v>
      </c>
      <c r="E412" s="1" t="s">
        <v>16</v>
      </c>
      <c r="F412" s="1" t="s">
        <v>17</v>
      </c>
      <c r="G412" s="1">
        <v>220811420174.94</v>
      </c>
    </row>
    <row ht="13.8" outlineLevel="0" r="413">
      <c r="A413" s="1" t="s">
        <v>25</v>
      </c>
      <c r="B413" s="1" t="s">
        <v>23</v>
      </c>
      <c r="C413" s="1" t="s">
        <v>24</v>
      </c>
      <c r="D413" s="3">
        <v>44197</v>
      </c>
      <c r="E413" s="1" t="s">
        <v>14</v>
      </c>
      <c r="F413" s="1" t="s">
        <v>15</v>
      </c>
      <c r="G413" s="1">
        <v>258580479934.11</v>
      </c>
    </row>
    <row ht="13.8" outlineLevel="0" r="414">
      <c r="A414" s="1" t="s">
        <v>25</v>
      </c>
      <c r="B414" s="1" t="s">
        <v>23</v>
      </c>
      <c r="C414" s="1" t="s">
        <v>24</v>
      </c>
      <c r="D414" s="3">
        <v>44166</v>
      </c>
      <c r="E414" s="1" t="s">
        <v>16</v>
      </c>
      <c r="F414" s="1" t="s">
        <v>17</v>
      </c>
      <c r="G414" s="1">
        <v>723323376763.82</v>
      </c>
    </row>
    <row ht="13.8" outlineLevel="0" r="415">
      <c r="A415" s="1" t="s">
        <v>25</v>
      </c>
      <c r="B415" s="1" t="s">
        <v>23</v>
      </c>
      <c r="C415" s="1" t="s">
        <v>24</v>
      </c>
      <c r="D415" s="3">
        <v>44166</v>
      </c>
      <c r="E415" s="1" t="s">
        <v>14</v>
      </c>
      <c r="F415" s="1" t="s">
        <v>15</v>
      </c>
      <c r="G415" s="1">
        <v>724532776763.82</v>
      </c>
    </row>
    <row ht="13.8" outlineLevel="0" r="416">
      <c r="A416" s="1" t="s">
        <v>25</v>
      </c>
      <c r="B416" s="1" t="s">
        <v>23</v>
      </c>
      <c r="C416" s="1" t="s">
        <v>24</v>
      </c>
      <c r="D416" s="3">
        <v>44166</v>
      </c>
      <c r="E416" s="1" t="s">
        <v>10</v>
      </c>
      <c r="F416" s="1" t="s">
        <v>11</v>
      </c>
      <c r="G416" s="1">
        <v>772757653824.66</v>
      </c>
    </row>
    <row ht="13.8" outlineLevel="0" r="417">
      <c r="A417" s="1" t="s">
        <v>25</v>
      </c>
      <c r="B417" s="1" t="s">
        <v>23</v>
      </c>
      <c r="C417" s="1" t="s">
        <v>24</v>
      </c>
      <c r="D417" s="3">
        <v>44166</v>
      </c>
      <c r="E417" s="1" t="s">
        <v>18</v>
      </c>
      <c r="F417" s="1" t="s">
        <v>19</v>
      </c>
      <c r="G417" s="1">
        <v>723323376763.82</v>
      </c>
    </row>
    <row ht="13.8" outlineLevel="0" r="418">
      <c r="A418" s="1" t="s">
        <v>25</v>
      </c>
      <c r="B418" s="1" t="s">
        <v>23</v>
      </c>
      <c r="C418" s="1" t="s">
        <v>24</v>
      </c>
      <c r="D418" s="3">
        <v>44166</v>
      </c>
      <c r="E418" s="1" t="s">
        <v>20</v>
      </c>
      <c r="F418" s="1" t="s">
        <v>21</v>
      </c>
      <c r="G418" s="1">
        <v>1209400000</v>
      </c>
    </row>
    <row ht="13.8" outlineLevel="0" r="419">
      <c r="A419" s="1" t="s">
        <v>25</v>
      </c>
      <c r="B419" s="1" t="s">
        <v>23</v>
      </c>
      <c r="C419" s="1" t="s">
        <v>24</v>
      </c>
      <c r="D419" s="3">
        <v>44136</v>
      </c>
      <c r="E419" s="1" t="s">
        <v>10</v>
      </c>
      <c r="F419" s="1" t="s">
        <v>11</v>
      </c>
      <c r="G419" s="1">
        <v>772361760045.39</v>
      </c>
    </row>
    <row ht="13.8" outlineLevel="0" r="420">
      <c r="A420" s="1" t="s">
        <v>25</v>
      </c>
      <c r="B420" s="1" t="s">
        <v>23</v>
      </c>
      <c r="C420" s="1" t="s">
        <v>24</v>
      </c>
      <c r="D420" s="3">
        <v>44136</v>
      </c>
      <c r="E420" s="1" t="s">
        <v>14</v>
      </c>
      <c r="F420" s="1" t="s">
        <v>15</v>
      </c>
      <c r="G420" s="1">
        <v>720291410356.73</v>
      </c>
    </row>
    <row ht="13.8" outlineLevel="0" r="421">
      <c r="A421" s="1" t="s">
        <v>25</v>
      </c>
      <c r="B421" s="1" t="s">
        <v>23</v>
      </c>
      <c r="C421" s="1" t="s">
        <v>24</v>
      </c>
      <c r="D421" s="3">
        <v>44136</v>
      </c>
      <c r="E421" s="1" t="s">
        <v>16</v>
      </c>
      <c r="F421" s="1" t="s">
        <v>17</v>
      </c>
      <c r="G421" s="1">
        <v>715558629557.84</v>
      </c>
    </row>
    <row ht="13.8" outlineLevel="0" r="422">
      <c r="A422" s="1" t="s">
        <v>25</v>
      </c>
      <c r="B422" s="1" t="s">
        <v>23</v>
      </c>
      <c r="C422" s="1" t="s">
        <v>24</v>
      </c>
      <c r="D422" s="3">
        <v>44136</v>
      </c>
      <c r="E422" s="1" t="s">
        <v>18</v>
      </c>
      <c r="F422" s="1" t="s">
        <v>19</v>
      </c>
      <c r="G422" s="1">
        <v>715558629557.84</v>
      </c>
    </row>
    <row ht="13.8" outlineLevel="0" r="423">
      <c r="A423" s="1" t="s">
        <v>25</v>
      </c>
      <c r="B423" s="1" t="s">
        <v>23</v>
      </c>
      <c r="C423" s="1" t="s">
        <v>24</v>
      </c>
      <c r="D423" s="3">
        <v>44105</v>
      </c>
      <c r="E423" s="1" t="s">
        <v>10</v>
      </c>
      <c r="F423" s="1" t="s">
        <v>11</v>
      </c>
      <c r="G423" s="1">
        <v>772282934953.39</v>
      </c>
    </row>
    <row ht="13.8" outlineLevel="0" r="424">
      <c r="A424" s="1" t="s">
        <v>25</v>
      </c>
      <c r="B424" s="1" t="s">
        <v>23</v>
      </c>
      <c r="C424" s="1" t="s">
        <v>24</v>
      </c>
      <c r="D424" s="3">
        <v>44105</v>
      </c>
      <c r="E424" s="1" t="s">
        <v>14</v>
      </c>
      <c r="F424" s="1" t="s">
        <v>15</v>
      </c>
      <c r="G424" s="1">
        <v>717865934108.51</v>
      </c>
    </row>
    <row ht="13.8" outlineLevel="0" r="425">
      <c r="A425" s="1" t="s">
        <v>25</v>
      </c>
      <c r="B425" s="1" t="s">
        <v>23</v>
      </c>
      <c r="C425" s="1" t="s">
        <v>24</v>
      </c>
      <c r="D425" s="3">
        <v>44105</v>
      </c>
      <c r="E425" s="1" t="s">
        <v>18</v>
      </c>
      <c r="F425" s="1" t="s">
        <v>19</v>
      </c>
      <c r="G425" s="1">
        <v>711732839341.25</v>
      </c>
    </row>
    <row ht="13.8" outlineLevel="0" r="426">
      <c r="A426" s="1" t="s">
        <v>25</v>
      </c>
      <c r="B426" s="1" t="s">
        <v>23</v>
      </c>
      <c r="C426" s="1" t="s">
        <v>24</v>
      </c>
      <c r="D426" s="3">
        <v>44105</v>
      </c>
      <c r="E426" s="1" t="s">
        <v>16</v>
      </c>
      <c r="F426" s="1" t="s">
        <v>17</v>
      </c>
      <c r="G426" s="1">
        <v>711732839341.25</v>
      </c>
    </row>
    <row ht="13.8" outlineLevel="0" r="427">
      <c r="A427" s="1" t="s">
        <v>25</v>
      </c>
      <c r="B427" s="1" t="s">
        <v>23</v>
      </c>
      <c r="C427" s="1" t="s">
        <v>24</v>
      </c>
      <c r="D427" s="3">
        <v>44075</v>
      </c>
      <c r="E427" s="1" t="s">
        <v>10</v>
      </c>
      <c r="F427" s="1" t="s">
        <v>11</v>
      </c>
      <c r="G427" s="1">
        <v>757282934953.39</v>
      </c>
    </row>
    <row ht="13.8" outlineLevel="0" r="428">
      <c r="A428" s="1" t="s">
        <v>25</v>
      </c>
      <c r="B428" s="1" t="s">
        <v>23</v>
      </c>
      <c r="C428" s="1" t="s">
        <v>24</v>
      </c>
      <c r="D428" s="3">
        <v>44075</v>
      </c>
      <c r="E428" s="1" t="s">
        <v>18</v>
      </c>
      <c r="F428" s="1" t="s">
        <v>19</v>
      </c>
      <c r="G428" s="1">
        <v>629872438887.44</v>
      </c>
    </row>
    <row ht="13.8" outlineLevel="0" r="429">
      <c r="A429" s="1" t="s">
        <v>25</v>
      </c>
      <c r="B429" s="1" t="s">
        <v>23</v>
      </c>
      <c r="C429" s="1" t="s">
        <v>24</v>
      </c>
      <c r="D429" s="3">
        <v>44075</v>
      </c>
      <c r="E429" s="1" t="s">
        <v>14</v>
      </c>
      <c r="F429" s="1" t="s">
        <v>15</v>
      </c>
      <c r="G429" s="1">
        <v>644498706176.25</v>
      </c>
    </row>
    <row ht="13.8" outlineLevel="0" r="430">
      <c r="A430" s="1" t="s">
        <v>25</v>
      </c>
      <c r="B430" s="1" t="s">
        <v>23</v>
      </c>
      <c r="C430" s="1" t="s">
        <v>24</v>
      </c>
      <c r="D430" s="3">
        <v>44075</v>
      </c>
      <c r="E430" s="1" t="s">
        <v>16</v>
      </c>
      <c r="F430" s="1" t="s">
        <v>17</v>
      </c>
      <c r="G430" s="1">
        <v>629872438887.44</v>
      </c>
    </row>
    <row ht="13.8" outlineLevel="0" r="431">
      <c r="A431" s="1" t="s">
        <v>25</v>
      </c>
      <c r="B431" s="1" t="s">
        <v>23</v>
      </c>
      <c r="C431" s="1" t="s">
        <v>24</v>
      </c>
      <c r="D431" s="3">
        <v>44044</v>
      </c>
      <c r="E431" s="1" t="s">
        <v>10</v>
      </c>
      <c r="F431" s="1" t="s">
        <v>11</v>
      </c>
      <c r="G431" s="1">
        <v>772452934953.39</v>
      </c>
    </row>
    <row ht="13.8" outlineLevel="0" r="432">
      <c r="A432" s="1" t="s">
        <v>25</v>
      </c>
      <c r="B432" s="1" t="s">
        <v>23</v>
      </c>
      <c r="C432" s="1" t="s">
        <v>24</v>
      </c>
      <c r="D432" s="3">
        <v>44044</v>
      </c>
      <c r="E432" s="1" t="s">
        <v>14</v>
      </c>
      <c r="F432" s="1" t="s">
        <v>15</v>
      </c>
      <c r="G432" s="1">
        <v>642650358260.93</v>
      </c>
    </row>
    <row ht="13.8" outlineLevel="0" r="433">
      <c r="A433" s="1" t="s">
        <v>25</v>
      </c>
      <c r="B433" s="1" t="s">
        <v>23</v>
      </c>
      <c r="C433" s="1" t="s">
        <v>24</v>
      </c>
      <c r="D433" s="3">
        <v>44044</v>
      </c>
      <c r="E433" s="1" t="s">
        <v>16</v>
      </c>
      <c r="F433" s="1" t="s">
        <v>17</v>
      </c>
      <c r="G433" s="1">
        <v>627551231857.94</v>
      </c>
    </row>
    <row ht="13.8" outlineLevel="0" r="434">
      <c r="A434" s="1" t="s">
        <v>25</v>
      </c>
      <c r="B434" s="1" t="s">
        <v>23</v>
      </c>
      <c r="C434" s="1" t="s">
        <v>24</v>
      </c>
      <c r="D434" s="3">
        <v>44044</v>
      </c>
      <c r="E434" s="1" t="s">
        <v>18</v>
      </c>
      <c r="F434" s="1" t="s">
        <v>19</v>
      </c>
      <c r="G434" s="1">
        <v>627551231857.94</v>
      </c>
    </row>
    <row ht="13.8" outlineLevel="0" r="435">
      <c r="A435" s="1" t="s">
        <v>25</v>
      </c>
      <c r="B435" s="1" t="s">
        <v>23</v>
      </c>
      <c r="C435" s="1" t="s">
        <v>24</v>
      </c>
      <c r="D435" s="3">
        <v>44013</v>
      </c>
      <c r="E435" s="1" t="s">
        <v>16</v>
      </c>
      <c r="F435" s="1" t="s">
        <v>17</v>
      </c>
      <c r="G435" s="1">
        <v>565867146925.18</v>
      </c>
    </row>
    <row ht="13.8" outlineLevel="0" r="436">
      <c r="A436" s="1" t="s">
        <v>25</v>
      </c>
      <c r="B436" s="1" t="s">
        <v>23</v>
      </c>
      <c r="C436" s="1" t="s">
        <v>24</v>
      </c>
      <c r="D436" s="3">
        <v>44013</v>
      </c>
      <c r="E436" s="1" t="s">
        <v>18</v>
      </c>
      <c r="F436" s="1" t="s">
        <v>19</v>
      </c>
      <c r="G436" s="1">
        <v>565867146925.18</v>
      </c>
    </row>
    <row ht="13.8" outlineLevel="0" r="437">
      <c r="A437" s="1" t="s">
        <v>25</v>
      </c>
      <c r="B437" s="1" t="s">
        <v>23</v>
      </c>
      <c r="C437" s="1" t="s">
        <v>24</v>
      </c>
      <c r="D437" s="3">
        <v>44013</v>
      </c>
      <c r="E437" s="1" t="s">
        <v>10</v>
      </c>
      <c r="F437" s="1" t="s">
        <v>11</v>
      </c>
      <c r="G437" s="1">
        <v>1032952934953.39</v>
      </c>
    </row>
    <row ht="13.8" outlineLevel="0" r="438">
      <c r="A438" s="1" t="s">
        <v>25</v>
      </c>
      <c r="B438" s="1" t="s">
        <v>23</v>
      </c>
      <c r="C438" s="1" t="s">
        <v>24</v>
      </c>
      <c r="D438" s="3">
        <v>44013</v>
      </c>
      <c r="E438" s="1" t="s">
        <v>14</v>
      </c>
      <c r="F438" s="1" t="s">
        <v>15</v>
      </c>
      <c r="G438" s="1">
        <v>583814600269.81</v>
      </c>
    </row>
    <row ht="13.8" outlineLevel="0" r="439">
      <c r="A439" s="1" t="s">
        <v>25</v>
      </c>
      <c r="B439" s="1" t="s">
        <v>23</v>
      </c>
      <c r="C439" s="1" t="s">
        <v>24</v>
      </c>
      <c r="D439" s="3">
        <v>43983</v>
      </c>
      <c r="E439" s="1" t="s">
        <v>18</v>
      </c>
      <c r="F439" s="1" t="s">
        <v>19</v>
      </c>
      <c r="G439" s="1">
        <v>344219943271.63</v>
      </c>
    </row>
    <row ht="13.8" outlineLevel="0" r="440">
      <c r="A440" s="1" t="s">
        <v>25</v>
      </c>
      <c r="B440" s="1" t="s">
        <v>23</v>
      </c>
      <c r="C440" s="1" t="s">
        <v>24</v>
      </c>
      <c r="D440" s="3">
        <v>43983</v>
      </c>
      <c r="E440" s="1" t="s">
        <v>10</v>
      </c>
      <c r="F440" s="1" t="s">
        <v>11</v>
      </c>
      <c r="G440" s="1">
        <v>1080600365840.5</v>
      </c>
    </row>
    <row ht="13.8" outlineLevel="0" r="441">
      <c r="A441" s="1" t="s">
        <v>25</v>
      </c>
      <c r="B441" s="1" t="s">
        <v>23</v>
      </c>
      <c r="C441" s="1" t="s">
        <v>24</v>
      </c>
      <c r="D441" s="3">
        <v>43983</v>
      </c>
      <c r="E441" s="1" t="s">
        <v>16</v>
      </c>
      <c r="F441" s="1" t="s">
        <v>17</v>
      </c>
      <c r="G441" s="1">
        <v>344219943271.63</v>
      </c>
    </row>
    <row ht="13.8" outlineLevel="0" r="442">
      <c r="A442" s="1" t="s">
        <v>25</v>
      </c>
      <c r="B442" s="1" t="s">
        <v>23</v>
      </c>
      <c r="C442" s="1" t="s">
        <v>24</v>
      </c>
      <c r="D442" s="3">
        <v>43983</v>
      </c>
      <c r="E442" s="1" t="s">
        <v>14</v>
      </c>
      <c r="F442" s="1" t="s">
        <v>15</v>
      </c>
      <c r="G442" s="1">
        <v>362170384373.41</v>
      </c>
    </row>
    <row ht="13.8" outlineLevel="0" r="443">
      <c r="A443" s="1" t="s">
        <v>25</v>
      </c>
      <c r="B443" s="1" t="s">
        <v>23</v>
      </c>
      <c r="C443" s="1" t="s">
        <v>24</v>
      </c>
      <c r="D443" s="3">
        <v>43952</v>
      </c>
      <c r="E443" s="1" t="s">
        <v>18</v>
      </c>
      <c r="F443" s="1" t="s">
        <v>19</v>
      </c>
      <c r="G443" s="1">
        <v>340571994439.46</v>
      </c>
    </row>
    <row ht="13.8" outlineLevel="0" r="444">
      <c r="A444" s="1" t="s">
        <v>25</v>
      </c>
      <c r="B444" s="1" t="s">
        <v>23</v>
      </c>
      <c r="C444" s="1" t="s">
        <v>24</v>
      </c>
      <c r="D444" s="3">
        <v>43952</v>
      </c>
      <c r="E444" s="1" t="s">
        <v>10</v>
      </c>
      <c r="F444" s="1" t="s">
        <v>11</v>
      </c>
      <c r="G444" s="1">
        <v>1079627888323</v>
      </c>
    </row>
    <row ht="13.8" outlineLevel="0" r="445">
      <c r="A445" s="1" t="s">
        <v>25</v>
      </c>
      <c r="B445" s="1" t="s">
        <v>23</v>
      </c>
      <c r="C445" s="1" t="s">
        <v>24</v>
      </c>
      <c r="D445" s="3">
        <v>43952</v>
      </c>
      <c r="E445" s="1" t="s">
        <v>16</v>
      </c>
      <c r="F445" s="1" t="s">
        <v>17</v>
      </c>
      <c r="G445" s="1">
        <v>340571994439.46</v>
      </c>
    </row>
    <row ht="13.8" outlineLevel="0" r="446">
      <c r="A446" s="1" t="s">
        <v>25</v>
      </c>
      <c r="B446" s="1" t="s">
        <v>23</v>
      </c>
      <c r="C446" s="1" t="s">
        <v>24</v>
      </c>
      <c r="D446" s="3">
        <v>43952</v>
      </c>
      <c r="E446" s="1" t="s">
        <v>14</v>
      </c>
      <c r="F446" s="1" t="s">
        <v>15</v>
      </c>
      <c r="G446" s="1">
        <v>358001866029.42</v>
      </c>
    </row>
    <row ht="13.8" outlineLevel="0" r="447">
      <c r="A447" s="1" t="s">
        <v>25</v>
      </c>
      <c r="B447" s="1" t="s">
        <v>23</v>
      </c>
      <c r="C447" s="1" t="s">
        <v>24</v>
      </c>
      <c r="D447" s="3">
        <v>43922</v>
      </c>
      <c r="E447" s="1" t="s">
        <v>14</v>
      </c>
      <c r="F447" s="1" t="s">
        <v>15</v>
      </c>
      <c r="G447" s="1">
        <v>355901851082.55</v>
      </c>
    </row>
    <row ht="13.8" outlineLevel="0" r="448">
      <c r="A448" s="1" t="s">
        <v>25</v>
      </c>
      <c r="B448" s="1" t="s">
        <v>23</v>
      </c>
      <c r="C448" s="1" t="s">
        <v>24</v>
      </c>
      <c r="D448" s="3">
        <v>43922</v>
      </c>
      <c r="E448" s="1" t="s">
        <v>16</v>
      </c>
      <c r="F448" s="1" t="s">
        <v>17</v>
      </c>
      <c r="G448" s="1">
        <v>338089305644.73</v>
      </c>
    </row>
    <row ht="13.8" outlineLevel="0" r="449">
      <c r="A449" s="1" t="s">
        <v>25</v>
      </c>
      <c r="B449" s="1" t="s">
        <v>23</v>
      </c>
      <c r="C449" s="1" t="s">
        <v>24</v>
      </c>
      <c r="D449" s="3">
        <v>43922</v>
      </c>
      <c r="E449" s="1" t="s">
        <v>18</v>
      </c>
      <c r="F449" s="1" t="s">
        <v>19</v>
      </c>
      <c r="G449" s="1">
        <v>338089305644.73</v>
      </c>
    </row>
    <row ht="13.8" outlineLevel="0" r="450">
      <c r="A450" s="1" t="s">
        <v>25</v>
      </c>
      <c r="B450" s="1" t="s">
        <v>23</v>
      </c>
      <c r="C450" s="1" t="s">
        <v>24</v>
      </c>
      <c r="D450" s="3">
        <v>43922</v>
      </c>
      <c r="E450" s="1" t="s">
        <v>10</v>
      </c>
      <c r="F450" s="1" t="s">
        <v>11</v>
      </c>
      <c r="G450" s="1">
        <v>1079627888323</v>
      </c>
    </row>
    <row ht="13.8" outlineLevel="0" r="451">
      <c r="A451" s="1" t="s">
        <v>25</v>
      </c>
      <c r="B451" s="1" t="s">
        <v>23</v>
      </c>
      <c r="C451" s="1" t="s">
        <v>24</v>
      </c>
      <c r="D451" s="3">
        <v>43891</v>
      </c>
      <c r="E451" s="1" t="s">
        <v>18</v>
      </c>
      <c r="F451" s="1" t="s">
        <v>19</v>
      </c>
      <c r="G451" s="1">
        <v>198754181953.95</v>
      </c>
    </row>
    <row ht="13.8" outlineLevel="0" r="452">
      <c r="A452" s="1" t="s">
        <v>25</v>
      </c>
      <c r="B452" s="1" t="s">
        <v>23</v>
      </c>
      <c r="C452" s="1" t="s">
        <v>24</v>
      </c>
      <c r="D452" s="3">
        <v>43891</v>
      </c>
      <c r="E452" s="1" t="s">
        <v>14</v>
      </c>
      <c r="F452" s="1" t="s">
        <v>15</v>
      </c>
      <c r="G452" s="1">
        <v>216606272921.64</v>
      </c>
    </row>
    <row ht="13.8" outlineLevel="0" r="453">
      <c r="A453" s="1" t="s">
        <v>25</v>
      </c>
      <c r="B453" s="1" t="s">
        <v>23</v>
      </c>
      <c r="C453" s="1" t="s">
        <v>24</v>
      </c>
      <c r="D453" s="3">
        <v>43891</v>
      </c>
      <c r="E453" s="1" t="s">
        <v>16</v>
      </c>
      <c r="F453" s="1" t="s">
        <v>17</v>
      </c>
      <c r="G453" s="1">
        <v>198754181953.95</v>
      </c>
    </row>
    <row ht="13.8" outlineLevel="0" r="454">
      <c r="A454" s="1" t="s">
        <v>25</v>
      </c>
      <c r="B454" s="1" t="s">
        <v>23</v>
      </c>
      <c r="C454" s="1" t="s">
        <v>24</v>
      </c>
      <c r="D454" s="3">
        <v>43891</v>
      </c>
      <c r="E454" s="1" t="s">
        <v>10</v>
      </c>
      <c r="F454" s="1" t="s">
        <v>11</v>
      </c>
      <c r="G454" s="1">
        <v>915223776615</v>
      </c>
    </row>
    <row ht="13.8" outlineLevel="0" r="455">
      <c r="A455" s="1" t="s">
        <v>25</v>
      </c>
      <c r="B455" s="1" t="s">
        <v>23</v>
      </c>
      <c r="C455" s="1" t="s">
        <v>24</v>
      </c>
      <c r="D455" s="3">
        <v>43862</v>
      </c>
      <c r="E455" s="1" t="s">
        <v>16</v>
      </c>
      <c r="F455" s="1" t="s">
        <v>17</v>
      </c>
      <c r="G455" s="1">
        <v>94369835041.73</v>
      </c>
    </row>
    <row ht="13.8" outlineLevel="0" r="456">
      <c r="A456" s="1" t="s">
        <v>25</v>
      </c>
      <c r="B456" s="1" t="s">
        <v>23</v>
      </c>
      <c r="C456" s="1" t="s">
        <v>24</v>
      </c>
      <c r="D456" s="3">
        <v>43862</v>
      </c>
      <c r="E456" s="1" t="s">
        <v>18</v>
      </c>
      <c r="F456" s="1" t="s">
        <v>19</v>
      </c>
      <c r="G456" s="1">
        <v>94369835041.73</v>
      </c>
    </row>
    <row ht="13.8" outlineLevel="0" r="457">
      <c r="A457" s="1" t="s">
        <v>25</v>
      </c>
      <c r="B457" s="1" t="s">
        <v>23</v>
      </c>
      <c r="C457" s="1" t="s">
        <v>24</v>
      </c>
      <c r="D457" s="3">
        <v>43862</v>
      </c>
      <c r="E457" s="1" t="s">
        <v>10</v>
      </c>
      <c r="F457" s="1" t="s">
        <v>11</v>
      </c>
      <c r="G457" s="1">
        <v>915302601707</v>
      </c>
    </row>
    <row ht="13.8" outlineLevel="0" r="458">
      <c r="A458" s="1" t="s">
        <v>25</v>
      </c>
      <c r="B458" s="1" t="s">
        <v>23</v>
      </c>
      <c r="C458" s="1" t="s">
        <v>24</v>
      </c>
      <c r="D458" s="3">
        <v>43862</v>
      </c>
      <c r="E458" s="1" t="s">
        <v>14</v>
      </c>
      <c r="F458" s="1" t="s">
        <v>15</v>
      </c>
      <c r="G458" s="1">
        <v>110660891513.27</v>
      </c>
    </row>
    <row ht="13.8" outlineLevel="0" r="459">
      <c r="A459" s="1" t="s">
        <v>25</v>
      </c>
      <c r="B459" s="1" t="s">
        <v>23</v>
      </c>
      <c r="C459" s="1" t="s">
        <v>24</v>
      </c>
      <c r="D459" s="3">
        <v>43831</v>
      </c>
      <c r="E459" s="1" t="s">
        <v>18</v>
      </c>
      <c r="F459" s="1" t="s">
        <v>19</v>
      </c>
      <c r="G459" s="1">
        <v>91210412397.63</v>
      </c>
    </row>
    <row ht="13.8" outlineLevel="0" r="460">
      <c r="A460" s="1" t="s">
        <v>25</v>
      </c>
      <c r="B460" s="1" t="s">
        <v>23</v>
      </c>
      <c r="C460" s="1" t="s">
        <v>24</v>
      </c>
      <c r="D460" s="3">
        <v>43831</v>
      </c>
      <c r="E460" s="1" t="s">
        <v>10</v>
      </c>
      <c r="F460" s="1" t="s">
        <v>11</v>
      </c>
      <c r="G460" s="1">
        <v>915302601707</v>
      </c>
    </row>
    <row ht="13.8" outlineLevel="0" r="461">
      <c r="A461" s="1" t="s">
        <v>25</v>
      </c>
      <c r="B461" s="1" t="s">
        <v>23</v>
      </c>
      <c r="C461" s="1" t="s">
        <v>24</v>
      </c>
      <c r="D461" s="3">
        <v>43831</v>
      </c>
      <c r="E461" s="1" t="s">
        <v>14</v>
      </c>
      <c r="F461" s="1" t="s">
        <v>15</v>
      </c>
      <c r="G461" s="1">
        <v>107853006182.58</v>
      </c>
    </row>
    <row ht="13.8" outlineLevel="0" r="462">
      <c r="A462" s="1" t="s">
        <v>25</v>
      </c>
      <c r="B462" s="1" t="s">
        <v>23</v>
      </c>
      <c r="C462" s="1" t="s">
        <v>24</v>
      </c>
      <c r="D462" s="3">
        <v>43831</v>
      </c>
      <c r="E462" s="1" t="s">
        <v>16</v>
      </c>
      <c r="F462" s="1" t="s">
        <v>17</v>
      </c>
      <c r="G462" s="1">
        <v>91210412397.63</v>
      </c>
    </row>
    <row ht="13.8" outlineLevel="0" r="463">
      <c r="A463" s="1" t="s">
        <v>25</v>
      </c>
      <c r="B463" s="1" t="s">
        <v>23</v>
      </c>
      <c r="C463" s="1" t="s">
        <v>24</v>
      </c>
      <c r="D463" s="3">
        <v>43800</v>
      </c>
      <c r="E463" s="1" t="s">
        <v>20</v>
      </c>
      <c r="F463" s="1" t="s">
        <v>21</v>
      </c>
      <c r="G463" s="1">
        <v>5008822.49</v>
      </c>
    </row>
    <row ht="13.8" outlineLevel="0" r="464">
      <c r="A464" s="1" t="s">
        <v>25</v>
      </c>
      <c r="B464" s="1" t="s">
        <v>23</v>
      </c>
      <c r="C464" s="1" t="s">
        <v>24</v>
      </c>
      <c r="D464" s="3">
        <v>43800</v>
      </c>
      <c r="E464" s="1" t="s">
        <v>16</v>
      </c>
      <c r="F464" s="1" t="s">
        <v>17</v>
      </c>
      <c r="G464" s="1">
        <v>476775244773.88</v>
      </c>
    </row>
    <row ht="13.8" outlineLevel="0" r="465">
      <c r="A465" s="1" t="s">
        <v>25</v>
      </c>
      <c r="B465" s="1" t="s">
        <v>23</v>
      </c>
      <c r="C465" s="1" t="s">
        <v>24</v>
      </c>
      <c r="D465" s="3">
        <v>43800</v>
      </c>
      <c r="E465" s="1" t="s">
        <v>18</v>
      </c>
      <c r="F465" s="1" t="s">
        <v>19</v>
      </c>
      <c r="G465" s="1">
        <v>476775244773.88</v>
      </c>
    </row>
    <row ht="13.8" outlineLevel="0" r="466">
      <c r="A466" s="1" t="s">
        <v>25</v>
      </c>
      <c r="B466" s="1" t="s">
        <v>23</v>
      </c>
      <c r="C466" s="1" t="s">
        <v>24</v>
      </c>
      <c r="D466" s="3">
        <v>43800</v>
      </c>
      <c r="E466" s="1" t="s">
        <v>14</v>
      </c>
      <c r="F466" s="1" t="s">
        <v>15</v>
      </c>
      <c r="G466" s="1">
        <v>476780253596.37</v>
      </c>
    </row>
    <row ht="13.8" outlineLevel="0" r="467">
      <c r="A467" s="1" t="s">
        <v>25</v>
      </c>
      <c r="B467" s="1" t="s">
        <v>23</v>
      </c>
      <c r="C467" s="1" t="s">
        <v>24</v>
      </c>
      <c r="D467" s="3">
        <v>43800</v>
      </c>
      <c r="E467" s="1" t="s">
        <v>10</v>
      </c>
      <c r="F467" s="1" t="s">
        <v>11</v>
      </c>
      <c r="G467" s="1">
        <v>714086081180</v>
      </c>
    </row>
    <row ht="13.8" outlineLevel="0" r="468">
      <c r="A468" s="1" t="s">
        <v>25</v>
      </c>
      <c r="B468" s="1" t="s">
        <v>23</v>
      </c>
      <c r="C468" s="1" t="s">
        <v>24</v>
      </c>
      <c r="D468" s="3">
        <v>43770</v>
      </c>
      <c r="E468" s="1" t="s">
        <v>18</v>
      </c>
      <c r="F468" s="1" t="s">
        <v>19</v>
      </c>
      <c r="G468" s="1">
        <v>466094700296.17</v>
      </c>
    </row>
    <row ht="13.8" outlineLevel="0" r="469">
      <c r="A469" s="1" t="s">
        <v>25</v>
      </c>
      <c r="B469" s="1" t="s">
        <v>23</v>
      </c>
      <c r="C469" s="1" t="s">
        <v>24</v>
      </c>
      <c r="D469" s="3">
        <v>43770</v>
      </c>
      <c r="E469" s="1" t="s">
        <v>16</v>
      </c>
      <c r="F469" s="1" t="s">
        <v>17</v>
      </c>
      <c r="G469" s="1">
        <v>466094700296.17</v>
      </c>
    </row>
    <row ht="13.8" outlineLevel="0" r="470">
      <c r="A470" s="1" t="s">
        <v>25</v>
      </c>
      <c r="B470" s="1" t="s">
        <v>23</v>
      </c>
      <c r="C470" s="1" t="s">
        <v>24</v>
      </c>
      <c r="D470" s="3">
        <v>43770</v>
      </c>
      <c r="E470" s="1" t="s">
        <v>10</v>
      </c>
      <c r="F470" s="1" t="s">
        <v>11</v>
      </c>
      <c r="G470" s="1">
        <v>713794886297.16</v>
      </c>
    </row>
    <row ht="13.8" outlineLevel="0" r="471">
      <c r="A471" s="1" t="s">
        <v>25</v>
      </c>
      <c r="B471" s="1" t="s">
        <v>23</v>
      </c>
      <c r="C471" s="1" t="s">
        <v>24</v>
      </c>
      <c r="D471" s="3">
        <v>43770</v>
      </c>
      <c r="E471" s="1" t="s">
        <v>14</v>
      </c>
      <c r="F471" s="1" t="s">
        <v>15</v>
      </c>
      <c r="G471" s="1">
        <v>534908183106.8</v>
      </c>
    </row>
    <row ht="13.8" outlineLevel="0" r="472">
      <c r="A472" s="1" t="s">
        <v>25</v>
      </c>
      <c r="B472" s="1" t="s">
        <v>23</v>
      </c>
      <c r="C472" s="1" t="s">
        <v>24</v>
      </c>
      <c r="D472" s="3">
        <v>43739</v>
      </c>
      <c r="E472" s="1" t="s">
        <v>10</v>
      </c>
      <c r="F472" s="1" t="s">
        <v>11</v>
      </c>
      <c r="G472" s="1">
        <v>713794886297.16</v>
      </c>
    </row>
    <row ht="13.8" outlineLevel="0" r="473">
      <c r="A473" s="1" t="s">
        <v>25</v>
      </c>
      <c r="B473" s="1" t="s">
        <v>23</v>
      </c>
      <c r="C473" s="1" t="s">
        <v>24</v>
      </c>
      <c r="D473" s="3">
        <v>43739</v>
      </c>
      <c r="E473" s="1" t="s">
        <v>18</v>
      </c>
      <c r="F473" s="1" t="s">
        <v>19</v>
      </c>
      <c r="G473" s="1">
        <v>459528167915.45</v>
      </c>
    </row>
    <row ht="13.8" outlineLevel="0" r="474">
      <c r="A474" s="1" t="s">
        <v>25</v>
      </c>
      <c r="B474" s="1" t="s">
        <v>23</v>
      </c>
      <c r="C474" s="1" t="s">
        <v>24</v>
      </c>
      <c r="D474" s="3">
        <v>43739</v>
      </c>
      <c r="E474" s="1" t="s">
        <v>14</v>
      </c>
      <c r="F474" s="1" t="s">
        <v>15</v>
      </c>
      <c r="G474" s="1">
        <v>528402806745.78</v>
      </c>
    </row>
    <row ht="13.8" outlineLevel="0" r="475">
      <c r="A475" s="1" t="s">
        <v>25</v>
      </c>
      <c r="B475" s="1" t="s">
        <v>23</v>
      </c>
      <c r="C475" s="1" t="s">
        <v>24</v>
      </c>
      <c r="D475" s="3">
        <v>43739</v>
      </c>
      <c r="E475" s="1" t="s">
        <v>16</v>
      </c>
      <c r="F475" s="1" t="s">
        <v>17</v>
      </c>
      <c r="G475" s="1">
        <v>459528167915.45</v>
      </c>
    </row>
    <row ht="13.8" outlineLevel="0" r="476">
      <c r="A476" s="1" t="s">
        <v>25</v>
      </c>
      <c r="B476" s="1" t="s">
        <v>23</v>
      </c>
      <c r="C476" s="1" t="s">
        <v>24</v>
      </c>
      <c r="D476" s="3">
        <v>43709</v>
      </c>
      <c r="E476" s="1" t="s">
        <v>10</v>
      </c>
      <c r="F476" s="1" t="s">
        <v>11</v>
      </c>
      <c r="G476" s="1">
        <v>713794886297.16</v>
      </c>
    </row>
    <row ht="13.8" outlineLevel="0" r="477">
      <c r="A477" s="1" t="s">
        <v>25</v>
      </c>
      <c r="B477" s="1" t="s">
        <v>23</v>
      </c>
      <c r="C477" s="1" t="s">
        <v>24</v>
      </c>
      <c r="D477" s="3">
        <v>43709</v>
      </c>
      <c r="E477" s="1" t="s">
        <v>14</v>
      </c>
      <c r="F477" s="1" t="s">
        <v>15</v>
      </c>
      <c r="G477" s="1">
        <v>450305186076.74</v>
      </c>
    </row>
    <row ht="13.8" outlineLevel="0" r="478">
      <c r="A478" s="1" t="s">
        <v>25</v>
      </c>
      <c r="B478" s="1" t="s">
        <v>23</v>
      </c>
      <c r="C478" s="1" t="s">
        <v>24</v>
      </c>
      <c r="D478" s="3">
        <v>43709</v>
      </c>
      <c r="E478" s="1" t="s">
        <v>16</v>
      </c>
      <c r="F478" s="1" t="s">
        <v>17</v>
      </c>
      <c r="G478" s="1">
        <v>372501188934.91</v>
      </c>
    </row>
    <row ht="13.8" outlineLevel="0" r="479">
      <c r="A479" s="1" t="s">
        <v>25</v>
      </c>
      <c r="B479" s="1" t="s">
        <v>23</v>
      </c>
      <c r="C479" s="1" t="s">
        <v>24</v>
      </c>
      <c r="D479" s="3">
        <v>43709</v>
      </c>
      <c r="E479" s="1" t="s">
        <v>18</v>
      </c>
      <c r="F479" s="1" t="s">
        <v>19</v>
      </c>
      <c r="G479" s="1">
        <v>372501188934.91</v>
      </c>
    </row>
    <row ht="13.8" outlineLevel="0" r="480">
      <c r="A480" s="1" t="s">
        <v>25</v>
      </c>
      <c r="B480" s="1" t="s">
        <v>23</v>
      </c>
      <c r="C480" s="1" t="s">
        <v>24</v>
      </c>
      <c r="D480" s="3">
        <v>43678</v>
      </c>
      <c r="E480" s="1" t="s">
        <v>18</v>
      </c>
      <c r="F480" s="1" t="s">
        <v>19</v>
      </c>
      <c r="G480" s="1">
        <v>370006415209.71</v>
      </c>
    </row>
    <row ht="13.8" outlineLevel="0" r="481">
      <c r="A481" s="1" t="s">
        <v>25</v>
      </c>
      <c r="B481" s="1" t="s">
        <v>23</v>
      </c>
      <c r="C481" s="1" t="s">
        <v>24</v>
      </c>
      <c r="D481" s="3">
        <v>43678</v>
      </c>
      <c r="E481" s="1" t="s">
        <v>16</v>
      </c>
      <c r="F481" s="1" t="s">
        <v>17</v>
      </c>
      <c r="G481" s="1">
        <v>370006415209.71</v>
      </c>
    </row>
    <row ht="13.8" outlineLevel="0" r="482">
      <c r="A482" s="1" t="s">
        <v>25</v>
      </c>
      <c r="B482" s="1" t="s">
        <v>23</v>
      </c>
      <c r="C482" s="1" t="s">
        <v>24</v>
      </c>
      <c r="D482" s="3">
        <v>43678</v>
      </c>
      <c r="E482" s="1" t="s">
        <v>14</v>
      </c>
      <c r="F482" s="1" t="s">
        <v>15</v>
      </c>
      <c r="G482" s="1">
        <v>450916248096.53</v>
      </c>
    </row>
    <row ht="13.8" outlineLevel="0" r="483">
      <c r="A483" s="1" t="s">
        <v>25</v>
      </c>
      <c r="B483" s="1" t="s">
        <v>23</v>
      </c>
      <c r="C483" s="1" t="s">
        <v>24</v>
      </c>
      <c r="D483" s="3">
        <v>43678</v>
      </c>
      <c r="E483" s="1" t="s">
        <v>10</v>
      </c>
      <c r="F483" s="1" t="s">
        <v>11</v>
      </c>
      <c r="G483" s="1">
        <v>713794886297.16</v>
      </c>
    </row>
    <row ht="13.8" outlineLevel="0" r="484">
      <c r="A484" s="1" t="s">
        <v>25</v>
      </c>
      <c r="B484" s="1" t="s">
        <v>23</v>
      </c>
      <c r="C484" s="1" t="s">
        <v>24</v>
      </c>
      <c r="D484" s="3">
        <v>43647</v>
      </c>
      <c r="E484" s="1" t="s">
        <v>16</v>
      </c>
      <c r="F484" s="1" t="s">
        <v>17</v>
      </c>
      <c r="G484" s="1">
        <v>366069379524.73</v>
      </c>
    </row>
    <row ht="13.8" outlineLevel="0" r="485">
      <c r="A485" s="1" t="s">
        <v>25</v>
      </c>
      <c r="B485" s="1" t="s">
        <v>23</v>
      </c>
      <c r="C485" s="1" t="s">
        <v>24</v>
      </c>
      <c r="D485" s="3">
        <v>43647</v>
      </c>
      <c r="E485" s="1" t="s">
        <v>10</v>
      </c>
      <c r="F485" s="1" t="s">
        <v>11</v>
      </c>
      <c r="G485" s="1">
        <v>713794886297.16</v>
      </c>
    </row>
    <row ht="13.8" outlineLevel="0" r="486">
      <c r="A486" s="1" t="s">
        <v>25</v>
      </c>
      <c r="B486" s="1" t="s">
        <v>23</v>
      </c>
      <c r="C486" s="1" t="s">
        <v>24</v>
      </c>
      <c r="D486" s="3">
        <v>43647</v>
      </c>
      <c r="E486" s="1" t="s">
        <v>14</v>
      </c>
      <c r="F486" s="1" t="s">
        <v>15</v>
      </c>
      <c r="G486" s="1">
        <v>447455261229.29</v>
      </c>
    </row>
    <row ht="13.8" outlineLevel="0" r="487">
      <c r="A487" s="1" t="s">
        <v>25</v>
      </c>
      <c r="B487" s="1" t="s">
        <v>23</v>
      </c>
      <c r="C487" s="1" t="s">
        <v>24</v>
      </c>
      <c r="D487" s="3">
        <v>43647</v>
      </c>
      <c r="E487" s="1" t="s">
        <v>18</v>
      </c>
      <c r="F487" s="1" t="s">
        <v>19</v>
      </c>
      <c r="G487" s="1">
        <v>366069379524.73</v>
      </c>
    </row>
    <row ht="13.8" outlineLevel="0" r="488">
      <c r="A488" s="1" t="s">
        <v>25</v>
      </c>
      <c r="B488" s="1" t="s">
        <v>23</v>
      </c>
      <c r="C488" s="1" t="s">
        <v>24</v>
      </c>
      <c r="D488" s="3">
        <v>43617</v>
      </c>
      <c r="E488" s="1" t="s">
        <v>18</v>
      </c>
      <c r="F488" s="1" t="s">
        <v>19</v>
      </c>
      <c r="G488" s="1">
        <v>332018705065.49</v>
      </c>
    </row>
    <row ht="13.8" outlineLevel="0" r="489">
      <c r="A489" s="1" t="s">
        <v>25</v>
      </c>
      <c r="B489" s="1" t="s">
        <v>23</v>
      </c>
      <c r="C489" s="1" t="s">
        <v>24</v>
      </c>
      <c r="D489" s="3">
        <v>43617</v>
      </c>
      <c r="E489" s="1" t="s">
        <v>16</v>
      </c>
      <c r="F489" s="1" t="s">
        <v>17</v>
      </c>
      <c r="G489" s="1">
        <v>332018705065.49</v>
      </c>
    </row>
    <row ht="13.8" outlineLevel="0" r="490">
      <c r="A490" s="1" t="s">
        <v>25</v>
      </c>
      <c r="B490" s="1" t="s">
        <v>23</v>
      </c>
      <c r="C490" s="1" t="s">
        <v>24</v>
      </c>
      <c r="D490" s="3">
        <v>43617</v>
      </c>
      <c r="E490" s="1" t="s">
        <v>14</v>
      </c>
      <c r="F490" s="1" t="s">
        <v>15</v>
      </c>
      <c r="G490" s="1">
        <v>433171405283.1</v>
      </c>
    </row>
    <row ht="13.8" outlineLevel="0" r="491">
      <c r="A491" s="1" t="s">
        <v>25</v>
      </c>
      <c r="B491" s="1" t="s">
        <v>23</v>
      </c>
      <c r="C491" s="1" t="s">
        <v>24</v>
      </c>
      <c r="D491" s="3">
        <v>43617</v>
      </c>
      <c r="E491" s="1" t="s">
        <v>10</v>
      </c>
      <c r="F491" s="1" t="s">
        <v>11</v>
      </c>
      <c r="G491" s="1">
        <v>713794886297.16</v>
      </c>
    </row>
    <row ht="13.8" outlineLevel="0" r="492">
      <c r="A492" s="1" t="s">
        <v>25</v>
      </c>
      <c r="B492" s="1" t="s">
        <v>23</v>
      </c>
      <c r="C492" s="1" t="s">
        <v>24</v>
      </c>
      <c r="D492" s="3">
        <v>43586</v>
      </c>
      <c r="E492" s="1" t="s">
        <v>10</v>
      </c>
      <c r="F492" s="1" t="s">
        <v>11</v>
      </c>
      <c r="G492" s="1">
        <v>743091699885</v>
      </c>
    </row>
    <row ht="13.8" outlineLevel="0" r="493">
      <c r="A493" s="1" t="s">
        <v>25</v>
      </c>
      <c r="B493" s="1" t="s">
        <v>23</v>
      </c>
      <c r="C493" s="1" t="s">
        <v>24</v>
      </c>
      <c r="D493" s="3">
        <v>43586</v>
      </c>
      <c r="E493" s="1" t="s">
        <v>14</v>
      </c>
      <c r="F493" s="1" t="s">
        <v>15</v>
      </c>
      <c r="G493" s="1">
        <v>431735679369.22</v>
      </c>
    </row>
    <row ht="13.8" outlineLevel="0" r="494">
      <c r="A494" s="1" t="s">
        <v>25</v>
      </c>
      <c r="B494" s="1" t="s">
        <v>23</v>
      </c>
      <c r="C494" s="1" t="s">
        <v>24</v>
      </c>
      <c r="D494" s="3">
        <v>43586</v>
      </c>
      <c r="E494" s="1" t="s">
        <v>18</v>
      </c>
      <c r="F494" s="1" t="s">
        <v>19</v>
      </c>
      <c r="G494" s="1">
        <v>328701339376.55</v>
      </c>
    </row>
    <row ht="13.8" outlineLevel="0" r="495">
      <c r="A495" s="1" t="s">
        <v>25</v>
      </c>
      <c r="B495" s="1" t="s">
        <v>23</v>
      </c>
      <c r="C495" s="1" t="s">
        <v>24</v>
      </c>
      <c r="D495" s="3">
        <v>43586</v>
      </c>
      <c r="E495" s="1" t="s">
        <v>16</v>
      </c>
      <c r="F495" s="1" t="s">
        <v>17</v>
      </c>
      <c r="G495" s="1">
        <v>328701339376.55</v>
      </c>
    </row>
    <row ht="13.8" outlineLevel="0" r="496">
      <c r="A496" s="1" t="s">
        <v>25</v>
      </c>
      <c r="B496" s="1" t="s">
        <v>23</v>
      </c>
      <c r="C496" s="1" t="s">
        <v>24</v>
      </c>
      <c r="D496" s="3">
        <v>43556</v>
      </c>
      <c r="E496" s="1" t="s">
        <v>10</v>
      </c>
      <c r="F496" s="1" t="s">
        <v>11</v>
      </c>
      <c r="G496" s="1">
        <v>740365732501</v>
      </c>
    </row>
    <row ht="13.8" outlineLevel="0" r="497">
      <c r="A497" s="1" t="s">
        <v>25</v>
      </c>
      <c r="B497" s="1" t="s">
        <v>23</v>
      </c>
      <c r="C497" s="1" t="s">
        <v>24</v>
      </c>
      <c r="D497" s="3">
        <v>43556</v>
      </c>
      <c r="E497" s="1" t="s">
        <v>16</v>
      </c>
      <c r="F497" s="1" t="s">
        <v>17</v>
      </c>
      <c r="G497" s="1">
        <v>326943200243.92</v>
      </c>
    </row>
    <row ht="13.8" outlineLevel="0" r="498">
      <c r="A498" s="1" t="s">
        <v>25</v>
      </c>
      <c r="B498" s="1" t="s">
        <v>23</v>
      </c>
      <c r="C498" s="1" t="s">
        <v>24</v>
      </c>
      <c r="D498" s="3">
        <v>43556</v>
      </c>
      <c r="E498" s="1" t="s">
        <v>14</v>
      </c>
      <c r="F498" s="1" t="s">
        <v>15</v>
      </c>
      <c r="G498" s="1">
        <v>431057315308.97</v>
      </c>
    </row>
    <row ht="13.8" outlineLevel="0" r="499">
      <c r="A499" s="1" t="s">
        <v>25</v>
      </c>
      <c r="B499" s="1" t="s">
        <v>23</v>
      </c>
      <c r="C499" s="1" t="s">
        <v>24</v>
      </c>
      <c r="D499" s="3">
        <v>43556</v>
      </c>
      <c r="E499" s="1" t="s">
        <v>18</v>
      </c>
      <c r="F499" s="1" t="s">
        <v>19</v>
      </c>
      <c r="G499" s="1">
        <v>326943200243.92</v>
      </c>
    </row>
    <row ht="13.8" outlineLevel="0" r="500">
      <c r="A500" s="1" t="s">
        <v>25</v>
      </c>
      <c r="B500" s="1" t="s">
        <v>23</v>
      </c>
      <c r="C500" s="1" t="s">
        <v>24</v>
      </c>
      <c r="D500" s="3">
        <v>43525</v>
      </c>
      <c r="E500" s="1" t="s">
        <v>16</v>
      </c>
      <c r="F500" s="1" t="s">
        <v>17</v>
      </c>
      <c r="G500" s="1">
        <v>203811248989.43</v>
      </c>
    </row>
    <row ht="13.8" outlineLevel="0" r="501">
      <c r="A501" s="1" t="s">
        <v>25</v>
      </c>
      <c r="B501" s="1" t="s">
        <v>23</v>
      </c>
      <c r="C501" s="1" t="s">
        <v>24</v>
      </c>
      <c r="D501" s="3">
        <v>43525</v>
      </c>
      <c r="E501" s="1" t="s">
        <v>14</v>
      </c>
      <c r="F501" s="1" t="s">
        <v>15</v>
      </c>
      <c r="G501" s="1">
        <v>280804166762.57</v>
      </c>
    </row>
    <row ht="13.8" outlineLevel="0" r="502">
      <c r="A502" s="1" t="s">
        <v>25</v>
      </c>
      <c r="B502" s="1" t="s">
        <v>23</v>
      </c>
      <c r="C502" s="1" t="s">
        <v>24</v>
      </c>
      <c r="D502" s="3">
        <v>43525</v>
      </c>
      <c r="E502" s="1" t="s">
        <v>10</v>
      </c>
      <c r="F502" s="1" t="s">
        <v>11</v>
      </c>
      <c r="G502" s="1">
        <v>756876510542</v>
      </c>
    </row>
    <row ht="13.8" outlineLevel="0" r="503">
      <c r="A503" s="1" t="s">
        <v>25</v>
      </c>
      <c r="B503" s="1" t="s">
        <v>23</v>
      </c>
      <c r="C503" s="1" t="s">
        <v>24</v>
      </c>
      <c r="D503" s="3">
        <v>43525</v>
      </c>
      <c r="E503" s="1" t="s">
        <v>18</v>
      </c>
      <c r="F503" s="1" t="s">
        <v>19</v>
      </c>
      <c r="G503" s="1">
        <v>203811248989.43</v>
      </c>
    </row>
    <row ht="13.8" outlineLevel="0" r="504">
      <c r="A504" s="1" t="s">
        <v>25</v>
      </c>
      <c r="B504" s="1" t="s">
        <v>23</v>
      </c>
      <c r="C504" s="1" t="s">
        <v>24</v>
      </c>
      <c r="D504" s="3">
        <v>43497</v>
      </c>
      <c r="E504" s="1" t="s">
        <v>10</v>
      </c>
      <c r="F504" s="1" t="s">
        <v>11</v>
      </c>
      <c r="G504" s="1">
        <v>756976510542</v>
      </c>
    </row>
    <row ht="13.8" outlineLevel="0" r="505">
      <c r="A505" s="1" t="s">
        <v>25</v>
      </c>
      <c r="B505" s="1" t="s">
        <v>23</v>
      </c>
      <c r="C505" s="1" t="s">
        <v>24</v>
      </c>
      <c r="D505" s="3">
        <v>43497</v>
      </c>
      <c r="E505" s="1" t="s">
        <v>18</v>
      </c>
      <c r="F505" s="1" t="s">
        <v>19</v>
      </c>
      <c r="G505" s="1">
        <v>136029865146.41</v>
      </c>
    </row>
    <row ht="13.8" outlineLevel="0" r="506">
      <c r="A506" s="1" t="s">
        <v>25</v>
      </c>
      <c r="B506" s="1" t="s">
        <v>23</v>
      </c>
      <c r="C506" s="1" t="s">
        <v>24</v>
      </c>
      <c r="D506" s="3">
        <v>43497</v>
      </c>
      <c r="E506" s="1" t="s">
        <v>14</v>
      </c>
      <c r="F506" s="1" t="s">
        <v>15</v>
      </c>
      <c r="G506" s="1">
        <v>217366092551.81</v>
      </c>
    </row>
    <row ht="13.8" outlineLevel="0" r="507">
      <c r="A507" s="1" t="s">
        <v>25</v>
      </c>
      <c r="B507" s="1" t="s">
        <v>23</v>
      </c>
      <c r="C507" s="1" t="s">
        <v>24</v>
      </c>
      <c r="D507" s="3">
        <v>43497</v>
      </c>
      <c r="E507" s="1" t="s">
        <v>16</v>
      </c>
      <c r="F507" s="1" t="s">
        <v>17</v>
      </c>
      <c r="G507" s="1">
        <v>136029865146.41</v>
      </c>
    </row>
    <row ht="13.8" outlineLevel="0" r="508">
      <c r="A508" s="1" t="s">
        <v>25</v>
      </c>
      <c r="B508" s="1" t="s">
        <v>23</v>
      </c>
      <c r="C508" s="1" t="s">
        <v>24</v>
      </c>
      <c r="D508" s="3">
        <v>43466</v>
      </c>
      <c r="E508" s="1" t="s">
        <v>18</v>
      </c>
      <c r="F508" s="1" t="s">
        <v>19</v>
      </c>
      <c r="G508" s="1">
        <v>133880288101.68</v>
      </c>
    </row>
    <row ht="13.8" outlineLevel="0" r="509">
      <c r="A509" s="1" t="s">
        <v>25</v>
      </c>
      <c r="B509" s="1" t="s">
        <v>23</v>
      </c>
      <c r="C509" s="1" t="s">
        <v>24</v>
      </c>
      <c r="D509" s="3">
        <v>43466</v>
      </c>
      <c r="E509" s="1" t="s">
        <v>14</v>
      </c>
      <c r="F509" s="1" t="s">
        <v>15</v>
      </c>
      <c r="G509" s="1">
        <v>202836760856.98</v>
      </c>
    </row>
    <row ht="13.8" outlineLevel="0" r="510">
      <c r="A510" s="1" t="s">
        <v>25</v>
      </c>
      <c r="B510" s="1" t="s">
        <v>23</v>
      </c>
      <c r="C510" s="1" t="s">
        <v>24</v>
      </c>
      <c r="D510" s="3">
        <v>43466</v>
      </c>
      <c r="E510" s="1" t="s">
        <v>10</v>
      </c>
      <c r="F510" s="1" t="s">
        <v>11</v>
      </c>
      <c r="G510" s="1">
        <v>757570262942</v>
      </c>
    </row>
    <row ht="13.8" outlineLevel="0" r="511">
      <c r="A511" s="1" t="s">
        <v>25</v>
      </c>
      <c r="B511" s="1" t="s">
        <v>23</v>
      </c>
      <c r="C511" s="1" t="s">
        <v>24</v>
      </c>
      <c r="D511" s="3">
        <v>43466</v>
      </c>
      <c r="E511" s="1" t="s">
        <v>16</v>
      </c>
      <c r="F511" s="1" t="s">
        <v>17</v>
      </c>
      <c r="G511" s="1">
        <v>133880288101.68</v>
      </c>
    </row>
    <row ht="13.8" outlineLevel="0" r="512">
      <c r="A512" s="1" t="s">
        <v>26</v>
      </c>
      <c r="B512" s="1" t="s">
        <v>27</v>
      </c>
      <c r="C512" s="1" t="s">
        <v>28</v>
      </c>
      <c r="D512" s="3">
        <v>44197</v>
      </c>
      <c r="E512" s="1" t="s">
        <v>16</v>
      </c>
      <c r="F512" s="1" t="s">
        <v>17</v>
      </c>
      <c r="G512" s="1">
        <v>28124828146.1357</v>
      </c>
    </row>
    <row ht="13.8" outlineLevel="0" r="513">
      <c r="A513" s="1" t="s">
        <v>26</v>
      </c>
      <c r="B513" s="1" t="s">
        <v>27</v>
      </c>
      <c r="C513" s="1" t="s">
        <v>28</v>
      </c>
      <c r="D513" s="3">
        <v>44197</v>
      </c>
      <c r="E513" s="1" t="s">
        <v>14</v>
      </c>
      <c r="F513" s="1" t="s">
        <v>15</v>
      </c>
      <c r="G513" s="1">
        <v>147129499108.964</v>
      </c>
    </row>
    <row ht="13.8" outlineLevel="0" r="514">
      <c r="A514" s="1" t="s">
        <v>26</v>
      </c>
      <c r="B514" s="1" t="s">
        <v>27</v>
      </c>
      <c r="C514" s="1" t="s">
        <v>28</v>
      </c>
      <c r="D514" s="3">
        <v>44197</v>
      </c>
      <c r="E514" s="1" t="s">
        <v>10</v>
      </c>
      <c r="F514" s="1" t="s">
        <v>11</v>
      </c>
      <c r="G514" s="1">
        <v>234112143962</v>
      </c>
    </row>
    <row ht="13.8" outlineLevel="0" r="515">
      <c r="A515" s="1" t="s">
        <v>26</v>
      </c>
      <c r="B515" s="1" t="s">
        <v>27</v>
      </c>
      <c r="C515" s="1" t="s">
        <v>28</v>
      </c>
      <c r="D515" s="3">
        <v>44197</v>
      </c>
      <c r="E515" s="1" t="s">
        <v>18</v>
      </c>
      <c r="F515" s="1" t="s">
        <v>19</v>
      </c>
      <c r="G515" s="1">
        <v>11287598468.1926</v>
      </c>
    </row>
    <row ht="13.8" outlineLevel="0" r="516">
      <c r="A516" s="1" t="s">
        <v>26</v>
      </c>
      <c r="B516" s="1" t="s">
        <v>27</v>
      </c>
      <c r="C516" s="1" t="s">
        <v>28</v>
      </c>
      <c r="D516" s="3">
        <v>44166</v>
      </c>
      <c r="E516" s="1" t="s">
        <v>10</v>
      </c>
      <c r="F516" s="1" t="s">
        <v>11</v>
      </c>
      <c r="G516" s="1">
        <v>349427239055</v>
      </c>
    </row>
    <row ht="13.8" outlineLevel="0" r="517">
      <c r="A517" s="1" t="s">
        <v>26</v>
      </c>
      <c r="B517" s="1" t="s">
        <v>27</v>
      </c>
      <c r="C517" s="1" t="s">
        <v>28</v>
      </c>
      <c r="D517" s="3">
        <v>44166</v>
      </c>
      <c r="E517" s="1" t="s">
        <v>16</v>
      </c>
      <c r="F517" s="1" t="s">
        <v>17</v>
      </c>
      <c r="G517" s="1">
        <v>342414371719.489</v>
      </c>
    </row>
    <row ht="13.8" outlineLevel="0" r="518">
      <c r="A518" s="1" t="s">
        <v>26</v>
      </c>
      <c r="B518" s="1" t="s">
        <v>27</v>
      </c>
      <c r="C518" s="1" t="s">
        <v>28</v>
      </c>
      <c r="D518" s="3">
        <v>44166</v>
      </c>
      <c r="E518" s="1" t="s">
        <v>20</v>
      </c>
      <c r="F518" s="1" t="s">
        <v>21</v>
      </c>
      <c r="G518" s="1">
        <v>1052577455.17</v>
      </c>
    </row>
    <row ht="13.8" outlineLevel="0" r="519">
      <c r="A519" s="1" t="s">
        <v>26</v>
      </c>
      <c r="B519" s="1" t="s">
        <v>27</v>
      </c>
      <c r="C519" s="1" t="s">
        <v>28</v>
      </c>
      <c r="D519" s="3">
        <v>44166</v>
      </c>
      <c r="E519" s="1" t="s">
        <v>14</v>
      </c>
      <c r="F519" s="1" t="s">
        <v>15</v>
      </c>
      <c r="G519" s="1">
        <v>343466949174.659</v>
      </c>
    </row>
    <row ht="13.8" outlineLevel="0" r="520">
      <c r="A520" s="1" t="s">
        <v>26</v>
      </c>
      <c r="B520" s="1" t="s">
        <v>27</v>
      </c>
      <c r="C520" s="1" t="s">
        <v>28</v>
      </c>
      <c r="D520" s="3">
        <v>44166</v>
      </c>
      <c r="E520" s="1" t="s">
        <v>18</v>
      </c>
      <c r="F520" s="1" t="s">
        <v>19</v>
      </c>
      <c r="G520" s="1">
        <v>325366180687.63</v>
      </c>
    </row>
    <row ht="13.8" outlineLevel="0" r="521">
      <c r="A521" s="1" t="s">
        <v>26</v>
      </c>
      <c r="B521" s="1" t="s">
        <v>27</v>
      </c>
      <c r="C521" s="1" t="s">
        <v>28</v>
      </c>
      <c r="D521" s="3">
        <v>44136</v>
      </c>
      <c r="E521" s="1" t="s">
        <v>18</v>
      </c>
      <c r="F521" s="1" t="s">
        <v>19</v>
      </c>
      <c r="G521" s="1">
        <v>288382547142.996</v>
      </c>
    </row>
    <row ht="13.8" outlineLevel="0" r="522">
      <c r="A522" s="1" t="s">
        <v>26</v>
      </c>
      <c r="B522" s="1" t="s">
        <v>27</v>
      </c>
      <c r="C522" s="1" t="s">
        <v>28</v>
      </c>
      <c r="D522" s="3">
        <v>44136</v>
      </c>
      <c r="E522" s="1" t="s">
        <v>10</v>
      </c>
      <c r="F522" s="1" t="s">
        <v>11</v>
      </c>
      <c r="G522" s="1">
        <v>349241956815</v>
      </c>
    </row>
    <row ht="13.8" outlineLevel="0" r="523">
      <c r="A523" s="1" t="s">
        <v>26</v>
      </c>
      <c r="B523" s="1" t="s">
        <v>27</v>
      </c>
      <c r="C523" s="1" t="s">
        <v>28</v>
      </c>
      <c r="D523" s="3">
        <v>44136</v>
      </c>
      <c r="E523" s="1" t="s">
        <v>16</v>
      </c>
      <c r="F523" s="1" t="s">
        <v>17</v>
      </c>
      <c r="G523" s="1">
        <v>312137969776.206</v>
      </c>
    </row>
    <row ht="13.8" outlineLevel="0" r="524">
      <c r="A524" s="1" t="s">
        <v>26</v>
      </c>
      <c r="B524" s="1" t="s">
        <v>27</v>
      </c>
      <c r="C524" s="1" t="s">
        <v>28</v>
      </c>
      <c r="D524" s="3">
        <v>44136</v>
      </c>
      <c r="E524" s="1" t="s">
        <v>14</v>
      </c>
      <c r="F524" s="1" t="s">
        <v>15</v>
      </c>
      <c r="G524" s="1">
        <v>333720245874.816</v>
      </c>
    </row>
    <row ht="13.8" outlineLevel="0" r="525">
      <c r="A525" s="1" t="s">
        <v>26</v>
      </c>
      <c r="B525" s="1" t="s">
        <v>27</v>
      </c>
      <c r="C525" s="1" t="s">
        <v>28</v>
      </c>
      <c r="D525" s="3">
        <v>44105</v>
      </c>
      <c r="E525" s="1" t="s">
        <v>18</v>
      </c>
      <c r="F525" s="1" t="s">
        <v>19</v>
      </c>
      <c r="G525" s="1">
        <v>256906876627.132</v>
      </c>
    </row>
    <row ht="13.8" outlineLevel="0" r="526">
      <c r="A526" s="1" t="s">
        <v>26</v>
      </c>
      <c r="B526" s="1" t="s">
        <v>27</v>
      </c>
      <c r="C526" s="1" t="s">
        <v>28</v>
      </c>
      <c r="D526" s="3">
        <v>44105</v>
      </c>
      <c r="E526" s="1" t="s">
        <v>16</v>
      </c>
      <c r="F526" s="1" t="s">
        <v>17</v>
      </c>
      <c r="G526" s="1">
        <v>273372158868.442</v>
      </c>
    </row>
    <row ht="13.8" outlineLevel="0" r="527">
      <c r="A527" s="1" t="s">
        <v>26</v>
      </c>
      <c r="B527" s="1" t="s">
        <v>27</v>
      </c>
      <c r="C527" s="1" t="s">
        <v>28</v>
      </c>
      <c r="D527" s="3">
        <v>44105</v>
      </c>
      <c r="E527" s="1" t="s">
        <v>14</v>
      </c>
      <c r="F527" s="1" t="s">
        <v>15</v>
      </c>
      <c r="G527" s="1">
        <v>315896127181.235</v>
      </c>
    </row>
    <row ht="13.8" outlineLevel="0" r="528">
      <c r="A528" s="1" t="s">
        <v>26</v>
      </c>
      <c r="B528" s="1" t="s">
        <v>27</v>
      </c>
      <c r="C528" s="1" t="s">
        <v>28</v>
      </c>
      <c r="D528" s="3">
        <v>44105</v>
      </c>
      <c r="E528" s="1" t="s">
        <v>10</v>
      </c>
      <c r="F528" s="1" t="s">
        <v>11</v>
      </c>
      <c r="G528" s="1">
        <v>345660794744</v>
      </c>
    </row>
    <row ht="13.8" outlineLevel="0" r="529">
      <c r="A529" s="1" t="s">
        <v>26</v>
      </c>
      <c r="B529" s="1" t="s">
        <v>27</v>
      </c>
      <c r="C529" s="1" t="s">
        <v>28</v>
      </c>
      <c r="D529" s="3">
        <v>44075</v>
      </c>
      <c r="E529" s="1" t="s">
        <v>10</v>
      </c>
      <c r="F529" s="1" t="s">
        <v>11</v>
      </c>
      <c r="G529" s="1">
        <v>344741984789</v>
      </c>
    </row>
    <row ht="13.8" outlineLevel="0" r="530">
      <c r="A530" s="1" t="s">
        <v>26</v>
      </c>
      <c r="B530" s="1" t="s">
        <v>27</v>
      </c>
      <c r="C530" s="1" t="s">
        <v>28</v>
      </c>
      <c r="D530" s="3">
        <v>44075</v>
      </c>
      <c r="E530" s="1" t="s">
        <v>18</v>
      </c>
      <c r="F530" s="1" t="s">
        <v>19</v>
      </c>
      <c r="G530" s="1">
        <v>230561629201.662</v>
      </c>
    </row>
    <row ht="13.8" outlineLevel="0" r="531">
      <c r="A531" s="1" t="s">
        <v>26</v>
      </c>
      <c r="B531" s="1" t="s">
        <v>27</v>
      </c>
      <c r="C531" s="1" t="s">
        <v>28</v>
      </c>
      <c r="D531" s="3">
        <v>44075</v>
      </c>
      <c r="E531" s="1" t="s">
        <v>16</v>
      </c>
      <c r="F531" s="1" t="s">
        <v>17</v>
      </c>
      <c r="G531" s="1">
        <v>246859777035.142</v>
      </c>
    </row>
    <row ht="13.8" outlineLevel="0" r="532">
      <c r="A532" s="1" t="s">
        <v>26</v>
      </c>
      <c r="B532" s="1" t="s">
        <v>27</v>
      </c>
      <c r="C532" s="1" t="s">
        <v>28</v>
      </c>
      <c r="D532" s="3">
        <v>44075</v>
      </c>
      <c r="E532" s="1" t="s">
        <v>14</v>
      </c>
      <c r="F532" s="1" t="s">
        <v>15</v>
      </c>
      <c r="G532" s="1">
        <v>304507295071.547</v>
      </c>
    </row>
    <row ht="13.8" outlineLevel="0" r="533">
      <c r="A533" s="1" t="s">
        <v>26</v>
      </c>
      <c r="B533" s="1" t="s">
        <v>27</v>
      </c>
      <c r="C533" s="1" t="s">
        <v>28</v>
      </c>
      <c r="D533" s="3">
        <v>44044</v>
      </c>
      <c r="E533" s="1" t="s">
        <v>16</v>
      </c>
      <c r="F533" s="1" t="s">
        <v>17</v>
      </c>
      <c r="G533" s="1">
        <v>220584343704.252</v>
      </c>
    </row>
    <row ht="13.8" outlineLevel="0" r="534">
      <c r="A534" s="1" t="s">
        <v>26</v>
      </c>
      <c r="B534" s="1" t="s">
        <v>27</v>
      </c>
      <c r="C534" s="1" t="s">
        <v>28</v>
      </c>
      <c r="D534" s="3">
        <v>44044</v>
      </c>
      <c r="E534" s="1" t="s">
        <v>18</v>
      </c>
      <c r="F534" s="1" t="s">
        <v>19</v>
      </c>
      <c r="G534" s="1">
        <v>204312312278.962</v>
      </c>
    </row>
    <row ht="13.8" outlineLevel="0" r="535">
      <c r="A535" s="1" t="s">
        <v>26</v>
      </c>
      <c r="B535" s="1" t="s">
        <v>27</v>
      </c>
      <c r="C535" s="1" t="s">
        <v>28</v>
      </c>
      <c r="D535" s="3">
        <v>44044</v>
      </c>
      <c r="E535" s="1" t="s">
        <v>14</v>
      </c>
      <c r="F535" s="1" t="s">
        <v>15</v>
      </c>
      <c r="G535" s="1">
        <v>291928155173.974</v>
      </c>
    </row>
    <row ht="13.8" outlineLevel="0" r="536">
      <c r="A536" s="1" t="s">
        <v>26</v>
      </c>
      <c r="B536" s="1" t="s">
        <v>27</v>
      </c>
      <c r="C536" s="1" t="s">
        <v>28</v>
      </c>
      <c r="D536" s="3">
        <v>44044</v>
      </c>
      <c r="E536" s="1" t="s">
        <v>10</v>
      </c>
      <c r="F536" s="1" t="s">
        <v>11</v>
      </c>
      <c r="G536" s="1">
        <v>345145370208</v>
      </c>
    </row>
    <row ht="13.8" outlineLevel="0" r="537">
      <c r="A537" s="1" t="s">
        <v>26</v>
      </c>
      <c r="B537" s="1" t="s">
        <v>27</v>
      </c>
      <c r="C537" s="1" t="s">
        <v>28</v>
      </c>
      <c r="D537" s="3">
        <v>44013</v>
      </c>
      <c r="E537" s="1" t="s">
        <v>16</v>
      </c>
      <c r="F537" s="1" t="s">
        <v>17</v>
      </c>
      <c r="G537" s="1">
        <v>194262647730.681</v>
      </c>
    </row>
    <row ht="13.8" outlineLevel="0" r="538">
      <c r="A538" s="1" t="s">
        <v>26</v>
      </c>
      <c r="B538" s="1" t="s">
        <v>27</v>
      </c>
      <c r="C538" s="1" t="s">
        <v>28</v>
      </c>
      <c r="D538" s="3">
        <v>44013</v>
      </c>
      <c r="E538" s="1" t="s">
        <v>14</v>
      </c>
      <c r="F538" s="1" t="s">
        <v>15</v>
      </c>
      <c r="G538" s="1">
        <v>281305534474.425</v>
      </c>
    </row>
    <row ht="13.8" outlineLevel="0" r="539">
      <c r="A539" s="1" t="s">
        <v>26</v>
      </c>
      <c r="B539" s="1" t="s">
        <v>27</v>
      </c>
      <c r="C539" s="1" t="s">
        <v>28</v>
      </c>
      <c r="D539" s="3">
        <v>44013</v>
      </c>
      <c r="E539" s="1" t="s">
        <v>18</v>
      </c>
      <c r="F539" s="1" t="s">
        <v>19</v>
      </c>
      <c r="G539" s="1">
        <v>178002076732.961</v>
      </c>
    </row>
    <row ht="13.8" outlineLevel="0" r="540">
      <c r="A540" s="1" t="s">
        <v>26</v>
      </c>
      <c r="B540" s="1" t="s">
        <v>27</v>
      </c>
      <c r="C540" s="1" t="s">
        <v>28</v>
      </c>
      <c r="D540" s="3">
        <v>44013</v>
      </c>
      <c r="E540" s="1" t="s">
        <v>10</v>
      </c>
      <c r="F540" s="1" t="s">
        <v>11</v>
      </c>
      <c r="G540" s="1">
        <v>345053918023</v>
      </c>
    </row>
    <row ht="13.8" outlineLevel="0" r="541">
      <c r="A541" s="1" t="s">
        <v>26</v>
      </c>
      <c r="B541" s="1" t="s">
        <v>27</v>
      </c>
      <c r="C541" s="1" t="s">
        <v>28</v>
      </c>
      <c r="D541" s="3">
        <v>43983</v>
      </c>
      <c r="E541" s="1" t="s">
        <v>16</v>
      </c>
      <c r="F541" s="1" t="s">
        <v>17</v>
      </c>
      <c r="G541" s="1">
        <v>168074300034.991</v>
      </c>
    </row>
    <row ht="13.8" outlineLevel="0" r="542">
      <c r="A542" s="1" t="s">
        <v>26</v>
      </c>
      <c r="B542" s="1" t="s">
        <v>27</v>
      </c>
      <c r="C542" s="1" t="s">
        <v>28</v>
      </c>
      <c r="D542" s="3">
        <v>43983</v>
      </c>
      <c r="E542" s="1" t="s">
        <v>18</v>
      </c>
      <c r="F542" s="1" t="s">
        <v>19</v>
      </c>
      <c r="G542" s="1">
        <v>144725500361.661</v>
      </c>
    </row>
    <row ht="13.8" outlineLevel="0" r="543">
      <c r="A543" s="1" t="s">
        <v>26</v>
      </c>
      <c r="B543" s="1" t="s">
        <v>27</v>
      </c>
      <c r="C543" s="1" t="s">
        <v>28</v>
      </c>
      <c r="D543" s="3">
        <v>43983</v>
      </c>
      <c r="E543" s="1" t="s">
        <v>10</v>
      </c>
      <c r="F543" s="1" t="s">
        <v>11</v>
      </c>
      <c r="G543" s="1">
        <v>345059418023</v>
      </c>
    </row>
    <row ht="13.8" outlineLevel="0" r="544">
      <c r="A544" s="1" t="s">
        <v>26</v>
      </c>
      <c r="B544" s="1" t="s">
        <v>27</v>
      </c>
      <c r="C544" s="1" t="s">
        <v>28</v>
      </c>
      <c r="D544" s="3">
        <v>43983</v>
      </c>
      <c r="E544" s="1" t="s">
        <v>14</v>
      </c>
      <c r="F544" s="1" t="s">
        <v>15</v>
      </c>
      <c r="G544" s="1">
        <v>261487339816.421</v>
      </c>
    </row>
    <row ht="13.8" outlineLevel="0" r="545">
      <c r="A545" s="1" t="s">
        <v>26</v>
      </c>
      <c r="B545" s="1" t="s">
        <v>27</v>
      </c>
      <c r="C545" s="1" t="s">
        <v>28</v>
      </c>
      <c r="D545" s="3">
        <v>43952</v>
      </c>
      <c r="E545" s="1" t="s">
        <v>16</v>
      </c>
      <c r="F545" s="1" t="s">
        <v>17</v>
      </c>
      <c r="G545" s="1">
        <v>131088193277.73</v>
      </c>
    </row>
    <row ht="13.8" outlineLevel="0" r="546">
      <c r="A546" s="1" t="s">
        <v>26</v>
      </c>
      <c r="B546" s="1" t="s">
        <v>27</v>
      </c>
      <c r="C546" s="1" t="s">
        <v>28</v>
      </c>
      <c r="D546" s="3">
        <v>43952</v>
      </c>
      <c r="E546" s="1" t="s">
        <v>10</v>
      </c>
      <c r="F546" s="1" t="s">
        <v>11</v>
      </c>
      <c r="G546" s="1">
        <v>344985718023</v>
      </c>
    </row>
    <row ht="13.8" outlineLevel="0" r="547">
      <c r="A547" s="1" t="s">
        <v>26</v>
      </c>
      <c r="B547" s="1" t="s">
        <v>27</v>
      </c>
      <c r="C547" s="1" t="s">
        <v>28</v>
      </c>
      <c r="D547" s="3">
        <v>43952</v>
      </c>
      <c r="E547" s="1" t="s">
        <v>18</v>
      </c>
      <c r="F547" s="1" t="s">
        <v>19</v>
      </c>
      <c r="G547" s="1">
        <v>114810417687.372</v>
      </c>
    </row>
    <row ht="13.8" outlineLevel="0" r="548">
      <c r="A548" s="1" t="s">
        <v>26</v>
      </c>
      <c r="B548" s="1" t="s">
        <v>27</v>
      </c>
      <c r="C548" s="1" t="s">
        <v>28</v>
      </c>
      <c r="D548" s="3">
        <v>43952</v>
      </c>
      <c r="E548" s="1" t="s">
        <v>14</v>
      </c>
      <c r="F548" s="1" t="s">
        <v>15</v>
      </c>
      <c r="G548" s="1">
        <v>203623811209.096</v>
      </c>
    </row>
    <row ht="13.8" outlineLevel="0" r="549">
      <c r="A549" s="1" t="s">
        <v>26</v>
      </c>
      <c r="B549" s="1" t="s">
        <v>27</v>
      </c>
      <c r="C549" s="1" t="s">
        <v>28</v>
      </c>
      <c r="D549" s="3">
        <v>43922</v>
      </c>
      <c r="E549" s="1" t="s">
        <v>14</v>
      </c>
      <c r="F549" s="1" t="s">
        <v>15</v>
      </c>
      <c r="G549" s="1">
        <v>196878776039.778</v>
      </c>
    </row>
    <row ht="13.8" outlineLevel="0" r="550">
      <c r="A550" s="1" t="s">
        <v>26</v>
      </c>
      <c r="B550" s="1" t="s">
        <v>27</v>
      </c>
      <c r="C550" s="1" t="s">
        <v>28</v>
      </c>
      <c r="D550" s="3">
        <v>43922</v>
      </c>
      <c r="E550" s="1" t="s">
        <v>10</v>
      </c>
      <c r="F550" s="1" t="s">
        <v>11</v>
      </c>
      <c r="G550" s="1">
        <v>344633605277</v>
      </c>
    </row>
    <row ht="13.8" outlineLevel="0" r="551">
      <c r="A551" s="1" t="s">
        <v>26</v>
      </c>
      <c r="B551" s="1" t="s">
        <v>27</v>
      </c>
      <c r="C551" s="1" t="s">
        <v>28</v>
      </c>
      <c r="D551" s="3">
        <v>43922</v>
      </c>
      <c r="E551" s="1" t="s">
        <v>18</v>
      </c>
      <c r="F551" s="1" t="s">
        <v>19</v>
      </c>
      <c r="G551" s="1">
        <v>88907190577.9591</v>
      </c>
    </row>
    <row ht="13.8" outlineLevel="0" r="552">
      <c r="A552" s="1" t="s">
        <v>26</v>
      </c>
      <c r="B552" s="1" t="s">
        <v>27</v>
      </c>
      <c r="C552" s="1" t="s">
        <v>28</v>
      </c>
      <c r="D552" s="3">
        <v>43922</v>
      </c>
      <c r="E552" s="1" t="s">
        <v>16</v>
      </c>
      <c r="F552" s="1" t="s">
        <v>17</v>
      </c>
      <c r="G552" s="1">
        <v>104942743743.909</v>
      </c>
    </row>
    <row ht="13.8" outlineLevel="0" r="553">
      <c r="A553" s="1" t="s">
        <v>26</v>
      </c>
      <c r="B553" s="1" t="s">
        <v>27</v>
      </c>
      <c r="C553" s="1" t="s">
        <v>28</v>
      </c>
      <c r="D553" s="3">
        <v>43891</v>
      </c>
      <c r="E553" s="1" t="s">
        <v>10</v>
      </c>
      <c r="F553" s="1" t="s">
        <v>11</v>
      </c>
      <c r="G553" s="1">
        <v>344614023712</v>
      </c>
    </row>
    <row ht="13.8" outlineLevel="0" r="554">
      <c r="A554" s="1" t="s">
        <v>26</v>
      </c>
      <c r="B554" s="1" t="s">
        <v>27</v>
      </c>
      <c r="C554" s="1" t="s">
        <v>28</v>
      </c>
      <c r="D554" s="3">
        <v>43891</v>
      </c>
      <c r="E554" s="1" t="s">
        <v>14</v>
      </c>
      <c r="F554" s="1" t="s">
        <v>15</v>
      </c>
      <c r="G554" s="1">
        <v>182598960610.153</v>
      </c>
    </row>
    <row ht="13.8" outlineLevel="0" r="555">
      <c r="A555" s="1" t="s">
        <v>26</v>
      </c>
      <c r="B555" s="1" t="s">
        <v>27</v>
      </c>
      <c r="C555" s="1" t="s">
        <v>28</v>
      </c>
      <c r="D555" s="3">
        <v>43891</v>
      </c>
      <c r="E555" s="1" t="s">
        <v>16</v>
      </c>
      <c r="F555" s="1" t="s">
        <v>17</v>
      </c>
      <c r="G555" s="1">
        <v>78883084724.3417</v>
      </c>
    </row>
    <row ht="13.8" outlineLevel="0" r="556">
      <c r="A556" s="1" t="s">
        <v>26</v>
      </c>
      <c r="B556" s="1" t="s">
        <v>27</v>
      </c>
      <c r="C556" s="1" t="s">
        <v>28</v>
      </c>
      <c r="D556" s="3">
        <v>43891</v>
      </c>
      <c r="E556" s="1" t="s">
        <v>18</v>
      </c>
      <c r="F556" s="1" t="s">
        <v>19</v>
      </c>
      <c r="G556" s="1">
        <v>62978277112.1517</v>
      </c>
    </row>
    <row ht="13.8" outlineLevel="0" r="557">
      <c r="A557" s="1" t="s">
        <v>26</v>
      </c>
      <c r="B557" s="1" t="s">
        <v>27</v>
      </c>
      <c r="C557" s="1" t="s">
        <v>28</v>
      </c>
      <c r="D557" s="3">
        <v>43862</v>
      </c>
      <c r="E557" s="1" t="s">
        <v>18</v>
      </c>
      <c r="F557" s="1" t="s">
        <v>19</v>
      </c>
      <c r="G557" s="1">
        <v>36788391671.2709</v>
      </c>
    </row>
    <row ht="13.8" outlineLevel="0" r="558">
      <c r="A558" s="1" t="s">
        <v>26</v>
      </c>
      <c r="B558" s="1" t="s">
        <v>27</v>
      </c>
      <c r="C558" s="1" t="s">
        <v>28</v>
      </c>
      <c r="D558" s="3">
        <v>43862</v>
      </c>
      <c r="E558" s="1" t="s">
        <v>14</v>
      </c>
      <c r="F558" s="1" t="s">
        <v>15</v>
      </c>
      <c r="G558" s="1">
        <v>170875685669.273</v>
      </c>
    </row>
    <row ht="13.8" outlineLevel="0" r="559">
      <c r="A559" s="1" t="s">
        <v>26</v>
      </c>
      <c r="B559" s="1" t="s">
        <v>27</v>
      </c>
      <c r="C559" s="1" t="s">
        <v>28</v>
      </c>
      <c r="D559" s="3">
        <v>43862</v>
      </c>
      <c r="E559" s="1" t="s">
        <v>10</v>
      </c>
      <c r="F559" s="1" t="s">
        <v>11</v>
      </c>
      <c r="G559" s="1">
        <v>344614023712</v>
      </c>
    </row>
    <row ht="13.8" outlineLevel="0" r="560">
      <c r="A560" s="1" t="s">
        <v>26</v>
      </c>
      <c r="B560" s="1" t="s">
        <v>27</v>
      </c>
      <c r="C560" s="1" t="s">
        <v>28</v>
      </c>
      <c r="D560" s="3">
        <v>43862</v>
      </c>
      <c r="E560" s="1" t="s">
        <v>16</v>
      </c>
      <c r="F560" s="1" t="s">
        <v>17</v>
      </c>
      <c r="G560" s="1">
        <v>52633105049.3309</v>
      </c>
    </row>
    <row ht="13.8" outlineLevel="0" r="561">
      <c r="A561" s="1" t="s">
        <v>26</v>
      </c>
      <c r="B561" s="1" t="s">
        <v>27</v>
      </c>
      <c r="C561" s="1" t="s">
        <v>28</v>
      </c>
      <c r="D561" s="3">
        <v>43831</v>
      </c>
      <c r="E561" s="1" t="s">
        <v>16</v>
      </c>
      <c r="F561" s="1" t="s">
        <v>17</v>
      </c>
      <c r="G561" s="1">
        <v>27491830654.9799</v>
      </c>
    </row>
    <row ht="13.8" outlineLevel="0" r="562">
      <c r="A562" s="1" t="s">
        <v>26</v>
      </c>
      <c r="B562" s="1" t="s">
        <v>27</v>
      </c>
      <c r="C562" s="1" t="s">
        <v>28</v>
      </c>
      <c r="D562" s="3">
        <v>43831</v>
      </c>
      <c r="E562" s="1" t="s">
        <v>14</v>
      </c>
      <c r="F562" s="1" t="s">
        <v>15</v>
      </c>
      <c r="G562" s="1">
        <v>157893397842.64</v>
      </c>
    </row>
    <row ht="13.8" outlineLevel="0" r="563">
      <c r="A563" s="1" t="s">
        <v>26</v>
      </c>
      <c r="B563" s="1" t="s">
        <v>27</v>
      </c>
      <c r="C563" s="1" t="s">
        <v>28</v>
      </c>
      <c r="D563" s="3">
        <v>43831</v>
      </c>
      <c r="E563" s="1" t="s">
        <v>18</v>
      </c>
      <c r="F563" s="1" t="s">
        <v>19</v>
      </c>
      <c r="G563" s="1">
        <v>10932854729.5099</v>
      </c>
    </row>
    <row ht="13.8" outlineLevel="0" r="564">
      <c r="A564" s="1" t="s">
        <v>26</v>
      </c>
      <c r="B564" s="1" t="s">
        <v>27</v>
      </c>
      <c r="C564" s="1" t="s">
        <v>28</v>
      </c>
      <c r="D564" s="3">
        <v>43831</v>
      </c>
      <c r="E564" s="1" t="s">
        <v>10</v>
      </c>
      <c r="F564" s="1" t="s">
        <v>11</v>
      </c>
      <c r="G564" s="1">
        <v>344614023712</v>
      </c>
    </row>
    <row ht="13.8" outlineLevel="0" r="565">
      <c r="A565" s="1" t="s">
        <v>26</v>
      </c>
      <c r="B565" s="1" t="s">
        <v>27</v>
      </c>
      <c r="C565" s="1" t="s">
        <v>28</v>
      </c>
      <c r="D565" s="3">
        <v>43800</v>
      </c>
      <c r="E565" s="1" t="s">
        <v>16</v>
      </c>
      <c r="F565" s="1" t="s">
        <v>17</v>
      </c>
      <c r="G565" s="1">
        <v>332057344915.668</v>
      </c>
    </row>
    <row ht="13.8" outlineLevel="0" r="566">
      <c r="A566" s="1" t="s">
        <v>26</v>
      </c>
      <c r="B566" s="1" t="s">
        <v>27</v>
      </c>
      <c r="C566" s="1" t="s">
        <v>28</v>
      </c>
      <c r="D566" s="3">
        <v>43800</v>
      </c>
      <c r="E566" s="1" t="s">
        <v>20</v>
      </c>
      <c r="F566" s="1" t="s">
        <v>21</v>
      </c>
      <c r="G566" s="1">
        <v>896397600.52</v>
      </c>
    </row>
    <row ht="13.8" outlineLevel="0" r="567">
      <c r="A567" s="1" t="s">
        <v>26</v>
      </c>
      <c r="B567" s="1" t="s">
        <v>27</v>
      </c>
      <c r="C567" s="1" t="s">
        <v>28</v>
      </c>
      <c r="D567" s="3">
        <v>43800</v>
      </c>
      <c r="E567" s="1" t="s">
        <v>18</v>
      </c>
      <c r="F567" s="1" t="s">
        <v>19</v>
      </c>
      <c r="G567" s="1">
        <v>315187103326.508</v>
      </c>
    </row>
    <row ht="13.8" outlineLevel="0" r="568">
      <c r="A568" s="1" t="s">
        <v>26</v>
      </c>
      <c r="B568" s="1" t="s">
        <v>27</v>
      </c>
      <c r="C568" s="1" t="s">
        <v>28</v>
      </c>
      <c r="D568" s="3">
        <v>43800</v>
      </c>
      <c r="E568" s="1" t="s">
        <v>10</v>
      </c>
      <c r="F568" s="1" t="s">
        <v>11</v>
      </c>
      <c r="G568" s="1">
        <v>344307766871</v>
      </c>
    </row>
    <row ht="13.8" outlineLevel="0" r="569">
      <c r="A569" s="1" t="s">
        <v>26</v>
      </c>
      <c r="B569" s="1" t="s">
        <v>27</v>
      </c>
      <c r="C569" s="1" t="s">
        <v>28</v>
      </c>
      <c r="D569" s="3">
        <v>43800</v>
      </c>
      <c r="E569" s="1" t="s">
        <v>14</v>
      </c>
      <c r="F569" s="1" t="s">
        <v>15</v>
      </c>
      <c r="G569" s="1">
        <v>332953742516.188</v>
      </c>
    </row>
    <row ht="13.8" outlineLevel="0" r="570">
      <c r="A570" s="1" t="s">
        <v>26</v>
      </c>
      <c r="B570" s="1" t="s">
        <v>27</v>
      </c>
      <c r="C570" s="1" t="s">
        <v>28</v>
      </c>
      <c r="D570" s="3">
        <v>43770</v>
      </c>
      <c r="E570" s="1" t="s">
        <v>18</v>
      </c>
      <c r="F570" s="1" t="s">
        <v>19</v>
      </c>
      <c r="G570" s="1">
        <v>279177765971.664</v>
      </c>
    </row>
    <row ht="13.8" outlineLevel="0" r="571">
      <c r="A571" s="1" t="s">
        <v>26</v>
      </c>
      <c r="B571" s="1" t="s">
        <v>27</v>
      </c>
      <c r="C571" s="1" t="s">
        <v>28</v>
      </c>
      <c r="D571" s="3">
        <v>43770</v>
      </c>
      <c r="E571" s="1" t="s">
        <v>16</v>
      </c>
      <c r="F571" s="1" t="s">
        <v>17</v>
      </c>
      <c r="G571" s="1">
        <v>302954846483.984</v>
      </c>
    </row>
    <row ht="13.8" outlineLevel="0" r="572">
      <c r="A572" s="1" t="s">
        <v>26</v>
      </c>
      <c r="B572" s="1" t="s">
        <v>27</v>
      </c>
      <c r="C572" s="1" t="s">
        <v>28</v>
      </c>
      <c r="D572" s="3">
        <v>43770</v>
      </c>
      <c r="E572" s="1" t="s">
        <v>14</v>
      </c>
      <c r="F572" s="1" t="s">
        <v>15</v>
      </c>
      <c r="G572" s="1">
        <v>324769657150.966</v>
      </c>
    </row>
    <row ht="13.8" outlineLevel="0" r="573">
      <c r="A573" s="1" t="s">
        <v>26</v>
      </c>
      <c r="B573" s="1" t="s">
        <v>27</v>
      </c>
      <c r="C573" s="1" t="s">
        <v>28</v>
      </c>
      <c r="D573" s="3">
        <v>43770</v>
      </c>
      <c r="E573" s="1" t="s">
        <v>10</v>
      </c>
      <c r="F573" s="1" t="s">
        <v>11</v>
      </c>
      <c r="G573" s="1">
        <v>347965976672</v>
      </c>
    </row>
    <row ht="13.8" outlineLevel="0" r="574">
      <c r="A574" s="1" t="s">
        <v>26</v>
      </c>
      <c r="B574" s="1" t="s">
        <v>27</v>
      </c>
      <c r="C574" s="1" t="s">
        <v>28</v>
      </c>
      <c r="D574" s="3">
        <v>43739</v>
      </c>
      <c r="E574" s="1" t="s">
        <v>10</v>
      </c>
      <c r="F574" s="1" t="s">
        <v>11</v>
      </c>
      <c r="G574" s="1">
        <v>348412590346</v>
      </c>
    </row>
    <row ht="13.8" outlineLevel="0" r="575">
      <c r="A575" s="1" t="s">
        <v>26</v>
      </c>
      <c r="B575" s="1" t="s">
        <v>27</v>
      </c>
      <c r="C575" s="1" t="s">
        <v>28</v>
      </c>
      <c r="D575" s="3">
        <v>43739</v>
      </c>
      <c r="E575" s="1" t="s">
        <v>14</v>
      </c>
      <c r="F575" s="1" t="s">
        <v>15</v>
      </c>
      <c r="G575" s="1">
        <v>306425133942.096</v>
      </c>
    </row>
    <row ht="13.8" outlineLevel="0" r="576">
      <c r="A576" s="1" t="s">
        <v>26</v>
      </c>
      <c r="B576" s="1" t="s">
        <v>27</v>
      </c>
      <c r="C576" s="1" t="s">
        <v>28</v>
      </c>
      <c r="D576" s="3">
        <v>43739</v>
      </c>
      <c r="E576" s="1" t="s">
        <v>16</v>
      </c>
      <c r="F576" s="1" t="s">
        <v>17</v>
      </c>
      <c r="G576" s="1">
        <v>264773783136.961</v>
      </c>
    </row>
    <row ht="13.8" outlineLevel="0" r="577">
      <c r="A577" s="1" t="s">
        <v>26</v>
      </c>
      <c r="B577" s="1" t="s">
        <v>27</v>
      </c>
      <c r="C577" s="1" t="s">
        <v>28</v>
      </c>
      <c r="D577" s="3">
        <v>43739</v>
      </c>
      <c r="E577" s="1" t="s">
        <v>18</v>
      </c>
      <c r="F577" s="1" t="s">
        <v>19</v>
      </c>
      <c r="G577" s="1">
        <v>248880736201.332</v>
      </c>
    </row>
    <row ht="13.8" outlineLevel="0" r="578">
      <c r="A578" s="1" t="s">
        <v>26</v>
      </c>
      <c r="B578" s="1" t="s">
        <v>27</v>
      </c>
      <c r="C578" s="1" t="s">
        <v>28</v>
      </c>
      <c r="D578" s="3">
        <v>43709</v>
      </c>
      <c r="E578" s="1" t="s">
        <v>10</v>
      </c>
      <c r="F578" s="1" t="s">
        <v>11</v>
      </c>
      <c r="G578" s="1">
        <v>349739990838</v>
      </c>
    </row>
    <row ht="13.8" outlineLevel="0" r="579">
      <c r="A579" s="1" t="s">
        <v>26</v>
      </c>
      <c r="B579" s="1" t="s">
        <v>27</v>
      </c>
      <c r="C579" s="1" t="s">
        <v>28</v>
      </c>
      <c r="D579" s="3">
        <v>43709</v>
      </c>
      <c r="E579" s="1" t="s">
        <v>14</v>
      </c>
      <c r="F579" s="1" t="s">
        <v>15</v>
      </c>
      <c r="G579" s="1">
        <v>295810470712.878</v>
      </c>
    </row>
    <row ht="13.8" outlineLevel="0" r="580">
      <c r="A580" s="1" t="s">
        <v>26</v>
      </c>
      <c r="B580" s="1" t="s">
        <v>27</v>
      </c>
      <c r="C580" s="1" t="s">
        <v>28</v>
      </c>
      <c r="D580" s="3">
        <v>43709</v>
      </c>
      <c r="E580" s="1" t="s">
        <v>16</v>
      </c>
      <c r="F580" s="1" t="s">
        <v>17</v>
      </c>
      <c r="G580" s="1">
        <v>239362411400.634</v>
      </c>
    </row>
    <row ht="13.8" outlineLevel="0" r="581">
      <c r="A581" s="1" t="s">
        <v>26</v>
      </c>
      <c r="B581" s="1" t="s">
        <v>27</v>
      </c>
      <c r="C581" s="1" t="s">
        <v>28</v>
      </c>
      <c r="D581" s="3">
        <v>43709</v>
      </c>
      <c r="E581" s="1" t="s">
        <v>18</v>
      </c>
      <c r="F581" s="1" t="s">
        <v>19</v>
      </c>
      <c r="G581" s="1">
        <v>223762151783.044</v>
      </c>
    </row>
    <row ht="13.8" outlineLevel="0" r="582">
      <c r="A582" s="1" t="s">
        <v>26</v>
      </c>
      <c r="B582" s="1" t="s">
        <v>27</v>
      </c>
      <c r="C582" s="1" t="s">
        <v>28</v>
      </c>
      <c r="D582" s="3">
        <v>43678</v>
      </c>
      <c r="E582" s="1" t="s">
        <v>14</v>
      </c>
      <c r="F582" s="1" t="s">
        <v>15</v>
      </c>
      <c r="G582" s="1">
        <v>286571873414.586</v>
      </c>
    </row>
    <row ht="13.8" outlineLevel="0" r="583">
      <c r="A583" s="1" t="s">
        <v>26</v>
      </c>
      <c r="B583" s="1" t="s">
        <v>27</v>
      </c>
      <c r="C583" s="1" t="s">
        <v>28</v>
      </c>
      <c r="D583" s="3">
        <v>43678</v>
      </c>
      <c r="E583" s="1" t="s">
        <v>16</v>
      </c>
      <c r="F583" s="1" t="s">
        <v>17</v>
      </c>
      <c r="G583" s="1">
        <v>214288383487.753</v>
      </c>
    </row>
    <row ht="13.8" outlineLevel="0" r="584">
      <c r="A584" s="1" t="s">
        <v>26</v>
      </c>
      <c r="B584" s="1" t="s">
        <v>27</v>
      </c>
      <c r="C584" s="1" t="s">
        <v>28</v>
      </c>
      <c r="D584" s="3">
        <v>43678</v>
      </c>
      <c r="E584" s="1" t="s">
        <v>10</v>
      </c>
      <c r="F584" s="1" t="s">
        <v>11</v>
      </c>
      <c r="G584" s="1">
        <v>349912901997</v>
      </c>
    </row>
    <row ht="13.8" outlineLevel="0" r="585">
      <c r="A585" s="1" t="s">
        <v>26</v>
      </c>
      <c r="B585" s="1" t="s">
        <v>27</v>
      </c>
      <c r="C585" s="1" t="s">
        <v>28</v>
      </c>
      <c r="D585" s="3">
        <v>43678</v>
      </c>
      <c r="E585" s="1" t="s">
        <v>18</v>
      </c>
      <c r="F585" s="1" t="s">
        <v>19</v>
      </c>
      <c r="G585" s="1">
        <v>198639095083.823</v>
      </c>
    </row>
    <row ht="13.8" outlineLevel="0" r="586">
      <c r="A586" s="1" t="s">
        <v>26</v>
      </c>
      <c r="B586" s="1" t="s">
        <v>27</v>
      </c>
      <c r="C586" s="1" t="s">
        <v>28</v>
      </c>
      <c r="D586" s="3">
        <v>43647</v>
      </c>
      <c r="E586" s="1" t="s">
        <v>10</v>
      </c>
      <c r="F586" s="1" t="s">
        <v>11</v>
      </c>
      <c r="G586" s="1">
        <v>349912901997</v>
      </c>
    </row>
    <row ht="13.8" outlineLevel="0" r="587">
      <c r="A587" s="1" t="s">
        <v>26</v>
      </c>
      <c r="B587" s="1" t="s">
        <v>27</v>
      </c>
      <c r="C587" s="1" t="s">
        <v>28</v>
      </c>
      <c r="D587" s="3">
        <v>43647</v>
      </c>
      <c r="E587" s="1" t="s">
        <v>14</v>
      </c>
      <c r="F587" s="1" t="s">
        <v>15</v>
      </c>
      <c r="G587" s="1">
        <v>276705198689.453</v>
      </c>
    </row>
    <row ht="13.8" outlineLevel="0" r="588">
      <c r="A588" s="1" t="s">
        <v>26</v>
      </c>
      <c r="B588" s="1" t="s">
        <v>27</v>
      </c>
      <c r="C588" s="1" t="s">
        <v>28</v>
      </c>
      <c r="D588" s="3">
        <v>43647</v>
      </c>
      <c r="E588" s="1" t="s">
        <v>18</v>
      </c>
      <c r="F588" s="1" t="s">
        <v>19</v>
      </c>
      <c r="G588" s="1">
        <v>173513220021.157</v>
      </c>
    </row>
    <row ht="13.8" outlineLevel="0" r="589">
      <c r="A589" s="1" t="s">
        <v>26</v>
      </c>
      <c r="B589" s="1" t="s">
        <v>27</v>
      </c>
      <c r="C589" s="1" t="s">
        <v>28</v>
      </c>
      <c r="D589" s="3">
        <v>43647</v>
      </c>
      <c r="E589" s="1" t="s">
        <v>16</v>
      </c>
      <c r="F589" s="1" t="s">
        <v>17</v>
      </c>
      <c r="G589" s="1">
        <v>189184785478.117</v>
      </c>
    </row>
    <row ht="13.8" outlineLevel="0" r="590">
      <c r="A590" s="1" t="s">
        <v>26</v>
      </c>
      <c r="B590" s="1" t="s">
        <v>27</v>
      </c>
      <c r="C590" s="1" t="s">
        <v>28</v>
      </c>
      <c r="D590" s="3">
        <v>43617</v>
      </c>
      <c r="E590" s="1" t="s">
        <v>10</v>
      </c>
      <c r="F590" s="1" t="s">
        <v>11</v>
      </c>
      <c r="G590" s="1">
        <v>350362901997</v>
      </c>
    </row>
    <row ht="13.8" outlineLevel="0" r="591">
      <c r="A591" s="1" t="s">
        <v>26</v>
      </c>
      <c r="B591" s="1" t="s">
        <v>27</v>
      </c>
      <c r="C591" s="1" t="s">
        <v>28</v>
      </c>
      <c r="D591" s="3">
        <v>43617</v>
      </c>
      <c r="E591" s="1" t="s">
        <v>18</v>
      </c>
      <c r="F591" s="1" t="s">
        <v>19</v>
      </c>
      <c r="G591" s="1">
        <v>141350134249.127</v>
      </c>
    </row>
    <row ht="13.8" outlineLevel="0" r="592">
      <c r="A592" s="1" t="s">
        <v>26</v>
      </c>
      <c r="B592" s="1" t="s">
        <v>27</v>
      </c>
      <c r="C592" s="1" t="s">
        <v>28</v>
      </c>
      <c r="D592" s="3">
        <v>43617</v>
      </c>
      <c r="E592" s="1" t="s">
        <v>14</v>
      </c>
      <c r="F592" s="1" t="s">
        <v>15</v>
      </c>
      <c r="G592" s="1">
        <v>264710734030.283</v>
      </c>
    </row>
    <row ht="13.8" outlineLevel="0" r="593">
      <c r="A593" s="1" t="s">
        <v>26</v>
      </c>
      <c r="B593" s="1" t="s">
        <v>27</v>
      </c>
      <c r="C593" s="1" t="s">
        <v>28</v>
      </c>
      <c r="D593" s="3">
        <v>43617</v>
      </c>
      <c r="E593" s="1" t="s">
        <v>16</v>
      </c>
      <c r="F593" s="1" t="s">
        <v>17</v>
      </c>
      <c r="G593" s="1">
        <v>164188086005.355</v>
      </c>
    </row>
    <row ht="13.8" outlineLevel="0" r="594">
      <c r="A594" s="1" t="s">
        <v>26</v>
      </c>
      <c r="B594" s="1" t="s">
        <v>27</v>
      </c>
      <c r="C594" s="1" t="s">
        <v>28</v>
      </c>
      <c r="D594" s="3">
        <v>43586</v>
      </c>
      <c r="E594" s="1" t="s">
        <v>16</v>
      </c>
      <c r="F594" s="1" t="s">
        <v>17</v>
      </c>
      <c r="G594" s="1">
        <v>131701988812.037</v>
      </c>
    </row>
    <row ht="13.8" outlineLevel="0" r="595">
      <c r="A595" s="1" t="s">
        <v>26</v>
      </c>
      <c r="B595" s="1" t="s">
        <v>27</v>
      </c>
      <c r="C595" s="1" t="s">
        <v>28</v>
      </c>
      <c r="D595" s="3">
        <v>43586</v>
      </c>
      <c r="E595" s="1" t="s">
        <v>10</v>
      </c>
      <c r="F595" s="1" t="s">
        <v>11</v>
      </c>
      <c r="G595" s="1">
        <v>350560321537</v>
      </c>
    </row>
    <row ht="13.8" outlineLevel="0" r="596">
      <c r="A596" s="1" t="s">
        <v>26</v>
      </c>
      <c r="B596" s="1" t="s">
        <v>27</v>
      </c>
      <c r="C596" s="1" t="s">
        <v>28</v>
      </c>
      <c r="D596" s="3">
        <v>43586</v>
      </c>
      <c r="E596" s="1" t="s">
        <v>14</v>
      </c>
      <c r="F596" s="1" t="s">
        <v>15</v>
      </c>
      <c r="G596" s="1">
        <v>248379793498.898</v>
      </c>
    </row>
    <row ht="13.8" outlineLevel="0" r="597">
      <c r="A597" s="1" t="s">
        <v>26</v>
      </c>
      <c r="B597" s="1" t="s">
        <v>27</v>
      </c>
      <c r="C597" s="1" t="s">
        <v>28</v>
      </c>
      <c r="D597" s="3">
        <v>43586</v>
      </c>
      <c r="E597" s="1" t="s">
        <v>18</v>
      </c>
      <c r="F597" s="1" t="s">
        <v>19</v>
      </c>
      <c r="G597" s="1">
        <v>115888853356.917</v>
      </c>
    </row>
    <row ht="13.8" outlineLevel="0" r="598">
      <c r="A598" s="1" t="s">
        <v>26</v>
      </c>
      <c r="B598" s="1" t="s">
        <v>27</v>
      </c>
      <c r="C598" s="1" t="s">
        <v>28</v>
      </c>
      <c r="D598" s="3">
        <v>43556</v>
      </c>
      <c r="E598" s="1" t="s">
        <v>18</v>
      </c>
      <c r="F598" s="1" t="s">
        <v>19</v>
      </c>
      <c r="G598" s="1">
        <v>90253787572.6747</v>
      </c>
    </row>
    <row ht="13.8" outlineLevel="0" r="599">
      <c r="A599" s="1" t="s">
        <v>26</v>
      </c>
      <c r="B599" s="1" t="s">
        <v>27</v>
      </c>
      <c r="C599" s="1" t="s">
        <v>28</v>
      </c>
      <c r="D599" s="3">
        <v>43556</v>
      </c>
      <c r="E599" s="1" t="s">
        <v>14</v>
      </c>
      <c r="F599" s="1" t="s">
        <v>15</v>
      </c>
      <c r="G599" s="1">
        <v>239387890959.451</v>
      </c>
    </row>
    <row ht="13.8" outlineLevel="0" r="600">
      <c r="A600" s="1" t="s">
        <v>26</v>
      </c>
      <c r="B600" s="1" t="s">
        <v>27</v>
      </c>
      <c r="C600" s="1" t="s">
        <v>28</v>
      </c>
      <c r="D600" s="3">
        <v>43556</v>
      </c>
      <c r="E600" s="1" t="s">
        <v>10</v>
      </c>
      <c r="F600" s="1" t="s">
        <v>11</v>
      </c>
      <c r="G600" s="1">
        <v>350568113379</v>
      </c>
    </row>
    <row ht="13.8" outlineLevel="0" r="601">
      <c r="A601" s="1" t="s">
        <v>26</v>
      </c>
      <c r="B601" s="1" t="s">
        <v>27</v>
      </c>
      <c r="C601" s="1" t="s">
        <v>28</v>
      </c>
      <c r="D601" s="3">
        <v>43556</v>
      </c>
      <c r="E601" s="1" t="s">
        <v>16</v>
      </c>
      <c r="F601" s="1" t="s">
        <v>17</v>
      </c>
      <c r="G601" s="1">
        <v>106107575250.581</v>
      </c>
    </row>
    <row ht="13.8" outlineLevel="0" r="602">
      <c r="A602" s="1" t="s">
        <v>26</v>
      </c>
      <c r="B602" s="1" t="s">
        <v>27</v>
      </c>
      <c r="C602" s="1" t="s">
        <v>28</v>
      </c>
      <c r="D602" s="3">
        <v>43525</v>
      </c>
      <c r="E602" s="1" t="s">
        <v>18</v>
      </c>
      <c r="F602" s="1" t="s">
        <v>19</v>
      </c>
      <c r="G602" s="1">
        <v>65012603846.3906</v>
      </c>
    </row>
    <row ht="13.8" outlineLevel="0" r="603">
      <c r="A603" s="1" t="s">
        <v>26</v>
      </c>
      <c r="B603" s="1" t="s">
        <v>27</v>
      </c>
      <c r="C603" s="1" t="s">
        <v>28</v>
      </c>
      <c r="D603" s="3">
        <v>43525</v>
      </c>
      <c r="E603" s="1" t="s">
        <v>16</v>
      </c>
      <c r="F603" s="1" t="s">
        <v>17</v>
      </c>
      <c r="G603" s="1">
        <v>80729459634.1706</v>
      </c>
    </row>
    <row ht="13.8" outlineLevel="0" r="604">
      <c r="A604" s="1" t="s">
        <v>26</v>
      </c>
      <c r="B604" s="1" t="s">
        <v>27</v>
      </c>
      <c r="C604" s="1" t="s">
        <v>28</v>
      </c>
      <c r="D604" s="3">
        <v>43525</v>
      </c>
      <c r="E604" s="1" t="s">
        <v>14</v>
      </c>
      <c r="F604" s="1" t="s">
        <v>15</v>
      </c>
      <c r="G604" s="1">
        <v>230113023678.751</v>
      </c>
    </row>
    <row ht="13.8" outlineLevel="0" r="605">
      <c r="A605" s="1" t="s">
        <v>26</v>
      </c>
      <c r="B605" s="1" t="s">
        <v>27</v>
      </c>
      <c r="C605" s="1" t="s">
        <v>28</v>
      </c>
      <c r="D605" s="3">
        <v>43525</v>
      </c>
      <c r="E605" s="1" t="s">
        <v>10</v>
      </c>
      <c r="F605" s="1" t="s">
        <v>11</v>
      </c>
      <c r="G605" s="1">
        <v>350401105712</v>
      </c>
    </row>
    <row ht="13.8" outlineLevel="0" r="606">
      <c r="A606" s="1" t="s">
        <v>26</v>
      </c>
      <c r="B606" s="1" t="s">
        <v>27</v>
      </c>
      <c r="C606" s="1" t="s">
        <v>28</v>
      </c>
      <c r="D606" s="3">
        <v>43497</v>
      </c>
      <c r="E606" s="1" t="s">
        <v>10</v>
      </c>
      <c r="F606" s="1" t="s">
        <v>11</v>
      </c>
      <c r="G606" s="1">
        <v>350435378742</v>
      </c>
    </row>
    <row ht="13.8" outlineLevel="0" r="607">
      <c r="A607" s="1" t="s">
        <v>26</v>
      </c>
      <c r="B607" s="1" t="s">
        <v>27</v>
      </c>
      <c r="C607" s="1" t="s">
        <v>28</v>
      </c>
      <c r="D607" s="3">
        <v>43497</v>
      </c>
      <c r="E607" s="1" t="s">
        <v>18</v>
      </c>
      <c r="F607" s="1" t="s">
        <v>19</v>
      </c>
      <c r="G607" s="1">
        <v>36223076255.6317</v>
      </c>
    </row>
    <row ht="13.8" outlineLevel="0" r="608">
      <c r="A608" s="1" t="s">
        <v>26</v>
      </c>
      <c r="B608" s="1" t="s">
        <v>27</v>
      </c>
      <c r="C608" s="1" t="s">
        <v>28</v>
      </c>
      <c r="D608" s="3">
        <v>43497</v>
      </c>
      <c r="E608" s="1" t="s">
        <v>14</v>
      </c>
      <c r="F608" s="1" t="s">
        <v>15</v>
      </c>
      <c r="G608" s="1">
        <v>216721478460.821</v>
      </c>
    </row>
    <row ht="13.8" outlineLevel="0" r="609">
      <c r="A609" s="1" t="s">
        <v>26</v>
      </c>
      <c r="B609" s="1" t="s">
        <v>27</v>
      </c>
      <c r="C609" s="1" t="s">
        <v>28</v>
      </c>
      <c r="D609" s="3">
        <v>43497</v>
      </c>
      <c r="E609" s="1" t="s">
        <v>16</v>
      </c>
      <c r="F609" s="1" t="s">
        <v>17</v>
      </c>
      <c r="G609" s="1">
        <v>51807097486.8117</v>
      </c>
    </row>
    <row ht="13.8" outlineLevel="0" r="610">
      <c r="A610" s="1" t="s">
        <v>26</v>
      </c>
      <c r="B610" s="1" t="s">
        <v>27</v>
      </c>
      <c r="C610" s="1" t="s">
        <v>28</v>
      </c>
      <c r="D610" s="3">
        <v>43466</v>
      </c>
      <c r="E610" s="1" t="s">
        <v>14</v>
      </c>
      <c r="F610" s="1" t="s">
        <v>15</v>
      </c>
      <c r="G610" s="1">
        <v>210644914201.076</v>
      </c>
    </row>
    <row ht="13.8" outlineLevel="0" r="611">
      <c r="A611" s="1" t="s">
        <v>26</v>
      </c>
      <c r="B611" s="1" t="s">
        <v>27</v>
      </c>
      <c r="C611" s="1" t="s">
        <v>28</v>
      </c>
      <c r="D611" s="3">
        <v>43466</v>
      </c>
      <c r="E611" s="1" t="s">
        <v>18</v>
      </c>
      <c r="F611" s="1" t="s">
        <v>19</v>
      </c>
      <c r="G611" s="1">
        <v>11115783591.0407</v>
      </c>
    </row>
    <row ht="13.8" outlineLevel="0" r="612">
      <c r="A612" s="1" t="s">
        <v>26</v>
      </c>
      <c r="B612" s="1" t="s">
        <v>27</v>
      </c>
      <c r="C612" s="1" t="s">
        <v>28</v>
      </c>
      <c r="D612" s="3">
        <v>43466</v>
      </c>
      <c r="E612" s="1" t="s">
        <v>10</v>
      </c>
      <c r="F612" s="1" t="s">
        <v>11</v>
      </c>
      <c r="G612" s="1">
        <v>350435378742</v>
      </c>
    </row>
    <row ht="13.8" outlineLevel="0" r="613">
      <c r="A613" s="1" t="s">
        <v>26</v>
      </c>
      <c r="B613" s="1" t="s">
        <v>27</v>
      </c>
      <c r="C613" s="1" t="s">
        <v>28</v>
      </c>
      <c r="D613" s="3">
        <v>43466</v>
      </c>
      <c r="E613" s="1" t="s">
        <v>16</v>
      </c>
      <c r="F613" s="1" t="s">
        <v>17</v>
      </c>
      <c r="G613" s="1">
        <v>27162602717.2507</v>
      </c>
    </row>
    <row ht="13.8" outlineLevel="0" r="614">
      <c r="A614" s="1" t="s">
        <v>38</v>
      </c>
      <c r="B614" s="1" t="s">
        <v>39</v>
      </c>
      <c r="C614" s="1" t="s">
        <v>40</v>
      </c>
      <c r="D614" s="3">
        <v>44197</v>
      </c>
      <c r="E614" s="1" t="s">
        <v>10</v>
      </c>
      <c r="F614" s="1" t="s">
        <v>11</v>
      </c>
      <c r="G614" s="1">
        <v>105779374</v>
      </c>
    </row>
    <row ht="13.8" outlineLevel="0" r="615">
      <c r="A615" s="1" t="s">
        <v>38</v>
      </c>
      <c r="B615" s="1" t="s">
        <v>39</v>
      </c>
      <c r="C615" s="1" t="s">
        <v>40</v>
      </c>
      <c r="D615" s="3">
        <v>44166</v>
      </c>
      <c r="E615" s="1" t="s">
        <v>10</v>
      </c>
      <c r="F615" s="1" t="s">
        <v>11</v>
      </c>
      <c r="G615" s="1">
        <v>40193377547</v>
      </c>
    </row>
    <row ht="13.8" outlineLevel="0" r="616">
      <c r="A616" s="1" t="s">
        <v>38</v>
      </c>
      <c r="B616" s="1" t="s">
        <v>39</v>
      </c>
      <c r="C616" s="1" t="s">
        <v>40</v>
      </c>
      <c r="D616" s="3">
        <v>44136</v>
      </c>
      <c r="E616" s="1" t="s">
        <v>10</v>
      </c>
      <c r="F616" s="1" t="s">
        <v>11</v>
      </c>
      <c r="G616" s="1">
        <v>31159499277</v>
      </c>
    </row>
    <row ht="13.8" outlineLevel="0" r="617">
      <c r="A617" s="1" t="s">
        <v>38</v>
      </c>
      <c r="B617" s="1" t="s">
        <v>39</v>
      </c>
      <c r="C617" s="1" t="s">
        <v>40</v>
      </c>
      <c r="D617" s="3">
        <v>44105</v>
      </c>
      <c r="E617" s="1" t="s">
        <v>10</v>
      </c>
      <c r="F617" s="1" t="s">
        <v>11</v>
      </c>
      <c r="G617" s="1">
        <v>32209464230</v>
      </c>
    </row>
    <row ht="13.8" outlineLevel="0" r="618">
      <c r="A618" s="1" t="s">
        <v>38</v>
      </c>
      <c r="B618" s="1" t="s">
        <v>39</v>
      </c>
      <c r="C618" s="1" t="s">
        <v>40</v>
      </c>
      <c r="D618" s="3">
        <v>44075</v>
      </c>
      <c r="E618" s="1" t="s">
        <v>10</v>
      </c>
      <c r="F618" s="1" t="s">
        <v>11</v>
      </c>
      <c r="G618" s="1">
        <v>33476172581</v>
      </c>
    </row>
    <row ht="13.8" outlineLevel="0" r="619">
      <c r="A619" s="1" t="s">
        <v>38</v>
      </c>
      <c r="B619" s="1" t="s">
        <v>39</v>
      </c>
      <c r="C619" s="1" t="s">
        <v>40</v>
      </c>
      <c r="D619" s="3">
        <v>44044</v>
      </c>
      <c r="E619" s="1" t="s">
        <v>10</v>
      </c>
      <c r="F619" s="1" t="s">
        <v>11</v>
      </c>
      <c r="G619" s="1">
        <v>33476172581</v>
      </c>
    </row>
    <row ht="13.8" outlineLevel="0" r="620">
      <c r="A620" s="1" t="s">
        <v>38</v>
      </c>
      <c r="B620" s="1" t="s">
        <v>39</v>
      </c>
      <c r="C620" s="1" t="s">
        <v>40</v>
      </c>
      <c r="D620" s="3">
        <v>44013</v>
      </c>
      <c r="E620" s="1" t="s">
        <v>10</v>
      </c>
      <c r="F620" s="1" t="s">
        <v>11</v>
      </c>
      <c r="G620" s="1">
        <v>34279518268</v>
      </c>
    </row>
    <row ht="13.8" outlineLevel="0" r="621">
      <c r="A621" s="1" t="s">
        <v>38</v>
      </c>
      <c r="B621" s="1" t="s">
        <v>39</v>
      </c>
      <c r="C621" s="1" t="s">
        <v>40</v>
      </c>
      <c r="D621" s="3">
        <v>43983</v>
      </c>
      <c r="E621" s="1" t="s">
        <v>10</v>
      </c>
      <c r="F621" s="1" t="s">
        <v>11</v>
      </c>
      <c r="G621" s="1">
        <v>34279518268</v>
      </c>
    </row>
    <row ht="13.8" outlineLevel="0" r="622">
      <c r="A622" s="1" t="s">
        <v>38</v>
      </c>
      <c r="B622" s="1" t="s">
        <v>39</v>
      </c>
      <c r="C622" s="1" t="s">
        <v>40</v>
      </c>
      <c r="D622" s="3">
        <v>43952</v>
      </c>
      <c r="E622" s="1" t="s">
        <v>10</v>
      </c>
      <c r="F622" s="1" t="s">
        <v>11</v>
      </c>
      <c r="G622" s="1">
        <v>34279518268</v>
      </c>
    </row>
    <row ht="13.8" outlineLevel="0" r="623">
      <c r="A623" s="1" t="s">
        <v>38</v>
      </c>
      <c r="B623" s="1" t="s">
        <v>39</v>
      </c>
      <c r="C623" s="1" t="s">
        <v>40</v>
      </c>
      <c r="D623" s="3">
        <v>43922</v>
      </c>
      <c r="E623" s="1" t="s">
        <v>10</v>
      </c>
      <c r="F623" s="1" t="s">
        <v>11</v>
      </c>
      <c r="G623" s="1">
        <v>34576240473</v>
      </c>
    </row>
    <row ht="13.8" outlineLevel="0" r="624">
      <c r="A624" s="1" t="s">
        <v>38</v>
      </c>
      <c r="B624" s="1" t="s">
        <v>39</v>
      </c>
      <c r="C624" s="1" t="s">
        <v>40</v>
      </c>
      <c r="D624" s="3">
        <v>43891</v>
      </c>
      <c r="E624" s="1" t="s">
        <v>10</v>
      </c>
      <c r="F624" s="1" t="s">
        <v>11</v>
      </c>
      <c r="G624" s="1">
        <v>34753708302</v>
      </c>
    </row>
    <row ht="13.8" outlineLevel="0" r="625">
      <c r="A625" s="1" t="s">
        <v>38</v>
      </c>
      <c r="B625" s="1" t="s">
        <v>39</v>
      </c>
      <c r="C625" s="1" t="s">
        <v>40</v>
      </c>
      <c r="D625" s="3">
        <v>43862</v>
      </c>
      <c r="E625" s="1" t="s">
        <v>10</v>
      </c>
      <c r="F625" s="1" t="s">
        <v>11</v>
      </c>
      <c r="G625" s="1">
        <v>34753708302</v>
      </c>
    </row>
    <row ht="13.8" outlineLevel="0" r="626">
      <c r="A626" s="1" t="s">
        <v>38</v>
      </c>
      <c r="B626" s="1" t="s">
        <v>39</v>
      </c>
      <c r="C626" s="1" t="s">
        <v>40</v>
      </c>
      <c r="D626" s="3">
        <v>43831</v>
      </c>
      <c r="E626" s="1" t="s">
        <v>10</v>
      </c>
      <c r="F626" s="1" t="s">
        <v>11</v>
      </c>
      <c r="G626" s="1">
        <v>34764996105</v>
      </c>
    </row>
    <row ht="13.8" outlineLevel="0" r="627">
      <c r="A627" s="1" t="s">
        <v>38</v>
      </c>
      <c r="B627" s="1" t="s">
        <v>39</v>
      </c>
      <c r="C627" s="1" t="s">
        <v>40</v>
      </c>
      <c r="D627" s="3">
        <v>43800</v>
      </c>
      <c r="E627" s="1" t="s">
        <v>10</v>
      </c>
      <c r="F627" s="1" t="s">
        <v>11</v>
      </c>
      <c r="G627" s="1">
        <v>31064615964</v>
      </c>
    </row>
    <row ht="13.8" outlineLevel="0" r="628">
      <c r="A628" s="1" t="s">
        <v>38</v>
      </c>
      <c r="B628" s="1" t="s">
        <v>39</v>
      </c>
      <c r="C628" s="1" t="s">
        <v>40</v>
      </c>
      <c r="D628" s="3">
        <v>43770</v>
      </c>
      <c r="E628" s="1" t="s">
        <v>10</v>
      </c>
      <c r="F628" s="1" t="s">
        <v>11</v>
      </c>
      <c r="G628" s="1">
        <v>33403505954</v>
      </c>
    </row>
    <row ht="13.8" outlineLevel="0" r="629">
      <c r="A629" s="1" t="s">
        <v>38</v>
      </c>
      <c r="B629" s="1" t="s">
        <v>39</v>
      </c>
      <c r="C629" s="1" t="s">
        <v>40</v>
      </c>
      <c r="D629" s="3">
        <v>43739</v>
      </c>
      <c r="E629" s="1" t="s">
        <v>10</v>
      </c>
      <c r="F629" s="1" t="s">
        <v>11</v>
      </c>
      <c r="G629" s="1">
        <v>33403505954</v>
      </c>
    </row>
    <row ht="13.8" outlineLevel="0" r="630">
      <c r="A630" s="1" t="s">
        <v>38</v>
      </c>
      <c r="B630" s="1" t="s">
        <v>39</v>
      </c>
      <c r="C630" s="1" t="s">
        <v>40</v>
      </c>
      <c r="D630" s="3">
        <v>43709</v>
      </c>
      <c r="E630" s="1" t="s">
        <v>10</v>
      </c>
      <c r="F630" s="1" t="s">
        <v>11</v>
      </c>
      <c r="G630" s="1">
        <v>33403505954</v>
      </c>
    </row>
    <row ht="13.8" outlineLevel="0" r="631">
      <c r="A631" s="1" t="s">
        <v>38</v>
      </c>
      <c r="B631" s="1" t="s">
        <v>39</v>
      </c>
      <c r="C631" s="1" t="s">
        <v>40</v>
      </c>
      <c r="D631" s="3">
        <v>43678</v>
      </c>
      <c r="E631" s="1" t="s">
        <v>10</v>
      </c>
      <c r="F631" s="1" t="s">
        <v>11</v>
      </c>
      <c r="G631" s="1">
        <v>33403505954</v>
      </c>
    </row>
    <row ht="13.8" outlineLevel="0" r="632">
      <c r="A632" s="1" t="s">
        <v>38</v>
      </c>
      <c r="B632" s="1" t="s">
        <v>39</v>
      </c>
      <c r="C632" s="1" t="s">
        <v>40</v>
      </c>
      <c r="D632" s="3">
        <v>43647</v>
      </c>
      <c r="E632" s="1" t="s">
        <v>10</v>
      </c>
      <c r="F632" s="1" t="s">
        <v>11</v>
      </c>
      <c r="G632" s="1">
        <v>33403505954</v>
      </c>
    </row>
    <row ht="13.8" outlineLevel="0" r="633">
      <c r="A633" s="1" t="s">
        <v>38</v>
      </c>
      <c r="B633" s="1" t="s">
        <v>39</v>
      </c>
      <c r="C633" s="1" t="s">
        <v>40</v>
      </c>
      <c r="D633" s="3">
        <v>43617</v>
      </c>
      <c r="E633" s="1" t="s">
        <v>10</v>
      </c>
      <c r="F633" s="1" t="s">
        <v>11</v>
      </c>
      <c r="G633" s="1">
        <v>33403505954</v>
      </c>
    </row>
    <row ht="13.8" outlineLevel="0" r="634">
      <c r="A634" s="1" t="s">
        <v>38</v>
      </c>
      <c r="B634" s="1" t="s">
        <v>39</v>
      </c>
      <c r="C634" s="1" t="s">
        <v>40</v>
      </c>
      <c r="D634" s="3">
        <v>43586</v>
      </c>
      <c r="E634" s="1" t="s">
        <v>10</v>
      </c>
      <c r="F634" s="1" t="s">
        <v>11</v>
      </c>
      <c r="G634" s="1">
        <v>33403505954</v>
      </c>
    </row>
    <row ht="13.8" outlineLevel="0" r="635">
      <c r="A635" s="1" t="s">
        <v>38</v>
      </c>
      <c r="B635" s="1" t="s">
        <v>39</v>
      </c>
      <c r="C635" s="1" t="s">
        <v>40</v>
      </c>
      <c r="D635" s="3">
        <v>43556</v>
      </c>
      <c r="E635" s="1" t="s">
        <v>10</v>
      </c>
      <c r="F635" s="1" t="s">
        <v>11</v>
      </c>
      <c r="G635" s="1">
        <v>33403505954</v>
      </c>
    </row>
    <row ht="13.8" outlineLevel="0" r="636">
      <c r="A636" s="1" t="s">
        <v>38</v>
      </c>
      <c r="B636" s="1" t="s">
        <v>39</v>
      </c>
      <c r="C636" s="1" t="s">
        <v>40</v>
      </c>
      <c r="D636" s="3">
        <v>43525</v>
      </c>
      <c r="E636" s="1" t="s">
        <v>10</v>
      </c>
      <c r="F636" s="1" t="s">
        <v>11</v>
      </c>
      <c r="G636" s="1">
        <v>33403505954</v>
      </c>
    </row>
    <row ht="13.8" outlineLevel="0" r="637">
      <c r="A637" s="1" t="s">
        <v>38</v>
      </c>
      <c r="B637" s="1" t="s">
        <v>39</v>
      </c>
      <c r="C637" s="1" t="s">
        <v>40</v>
      </c>
      <c r="D637" s="3">
        <v>43497</v>
      </c>
      <c r="E637" s="1" t="s">
        <v>10</v>
      </c>
      <c r="F637" s="1" t="s">
        <v>11</v>
      </c>
      <c r="G637" s="1">
        <v>33403505954</v>
      </c>
    </row>
    <row ht="13.8" outlineLevel="0" r="638">
      <c r="A638" s="1" t="s">
        <v>38</v>
      </c>
      <c r="B638" s="1" t="s">
        <v>39</v>
      </c>
      <c r="C638" s="1" t="s">
        <v>40</v>
      </c>
      <c r="D638" s="3">
        <v>43466</v>
      </c>
      <c r="E638" s="1" t="s">
        <v>10</v>
      </c>
      <c r="F638" s="1" t="s">
        <v>11</v>
      </c>
      <c r="G638" s="1">
        <v>33403505954</v>
      </c>
    </row>
    <row ht="13.8" outlineLevel="0" r="639">
      <c r="A639" s="1" t="s">
        <v>35</v>
      </c>
      <c r="B639" s="1" t="s">
        <v>36</v>
      </c>
      <c r="C639" s="1" t="s">
        <v>37</v>
      </c>
      <c r="D639" s="3">
        <v>44197</v>
      </c>
      <c r="E639" s="1" t="s">
        <v>16</v>
      </c>
      <c r="F639" s="1" t="s">
        <v>17</v>
      </c>
      <c r="G639" s="1">
        <v>2032869905.85</v>
      </c>
    </row>
    <row ht="13.8" outlineLevel="0" r="640">
      <c r="A640" s="1" t="s">
        <v>35</v>
      </c>
      <c r="B640" s="1" t="s">
        <v>36</v>
      </c>
      <c r="C640" s="1" t="s">
        <v>37</v>
      </c>
      <c r="D640" s="3">
        <v>44197</v>
      </c>
      <c r="E640" s="1" t="s">
        <v>14</v>
      </c>
      <c r="F640" s="1" t="s">
        <v>15</v>
      </c>
      <c r="G640" s="1">
        <v>41106661961.51</v>
      </c>
    </row>
    <row ht="13.8" outlineLevel="0" r="641">
      <c r="A641" s="1" t="s">
        <v>35</v>
      </c>
      <c r="B641" s="1" t="s">
        <v>36</v>
      </c>
      <c r="C641" s="1" t="s">
        <v>37</v>
      </c>
      <c r="D641" s="3">
        <v>44197</v>
      </c>
      <c r="E641" s="1" t="s">
        <v>10</v>
      </c>
      <c r="F641" s="1" t="s">
        <v>11</v>
      </c>
      <c r="G641" s="1">
        <v>52286495859</v>
      </c>
    </row>
    <row ht="13.8" outlineLevel="0" r="642">
      <c r="A642" s="1" t="s">
        <v>35</v>
      </c>
      <c r="B642" s="1" t="s">
        <v>36</v>
      </c>
      <c r="C642" s="1" t="s">
        <v>37</v>
      </c>
      <c r="D642" s="3">
        <v>44197</v>
      </c>
      <c r="E642" s="1" t="s">
        <v>18</v>
      </c>
      <c r="F642" s="1" t="s">
        <v>19</v>
      </c>
      <c r="G642" s="1">
        <v>2032310641.14</v>
      </c>
    </row>
    <row ht="13.8" outlineLevel="0" r="643">
      <c r="A643" s="1" t="s">
        <v>35</v>
      </c>
      <c r="B643" s="1" t="s">
        <v>36</v>
      </c>
      <c r="C643" s="1" t="s">
        <v>37</v>
      </c>
      <c r="D643" s="3">
        <v>44166</v>
      </c>
      <c r="E643" s="1" t="s">
        <v>18</v>
      </c>
      <c r="F643" s="1" t="s">
        <v>19</v>
      </c>
      <c r="G643" s="1">
        <v>119517077175.12</v>
      </c>
    </row>
    <row ht="13.8" outlineLevel="0" r="644">
      <c r="A644" s="1" t="s">
        <v>35</v>
      </c>
      <c r="B644" s="1" t="s">
        <v>36</v>
      </c>
      <c r="C644" s="1" t="s">
        <v>37</v>
      </c>
      <c r="D644" s="3">
        <v>44166</v>
      </c>
      <c r="E644" s="1" t="s">
        <v>20</v>
      </c>
      <c r="F644" s="1" t="s">
        <v>21</v>
      </c>
      <c r="G644" s="1">
        <v>8218666665.62</v>
      </c>
    </row>
    <row ht="13.8" outlineLevel="0" r="645">
      <c r="A645" s="1" t="s">
        <v>35</v>
      </c>
      <c r="B645" s="1" t="s">
        <v>36</v>
      </c>
      <c r="C645" s="1" t="s">
        <v>37</v>
      </c>
      <c r="D645" s="3">
        <v>44166</v>
      </c>
      <c r="E645" s="1" t="s">
        <v>16</v>
      </c>
      <c r="F645" s="1" t="s">
        <v>17</v>
      </c>
      <c r="G645" s="1">
        <v>121477727726.47</v>
      </c>
    </row>
    <row ht="13.8" outlineLevel="0" r="646">
      <c r="A646" s="1" t="s">
        <v>35</v>
      </c>
      <c r="B646" s="1" t="s">
        <v>36</v>
      </c>
      <c r="C646" s="1" t="s">
        <v>37</v>
      </c>
      <c r="D646" s="3">
        <v>44166</v>
      </c>
      <c r="E646" s="1" t="s">
        <v>14</v>
      </c>
      <c r="F646" s="1" t="s">
        <v>15</v>
      </c>
      <c r="G646" s="1">
        <v>129696394392.09</v>
      </c>
    </row>
    <row ht="13.8" outlineLevel="0" r="647">
      <c r="A647" s="1" t="s">
        <v>35</v>
      </c>
      <c r="B647" s="1" t="s">
        <v>36</v>
      </c>
      <c r="C647" s="1" t="s">
        <v>37</v>
      </c>
      <c r="D647" s="3">
        <v>44166</v>
      </c>
      <c r="E647" s="1" t="s">
        <v>10</v>
      </c>
      <c r="F647" s="1" t="s">
        <v>11</v>
      </c>
      <c r="G647" s="1">
        <v>264208815311</v>
      </c>
    </row>
    <row ht="13.8" outlineLevel="0" r="648">
      <c r="A648" s="1" t="s">
        <v>35</v>
      </c>
      <c r="B648" s="1" t="s">
        <v>36</v>
      </c>
      <c r="C648" s="1" t="s">
        <v>37</v>
      </c>
      <c r="D648" s="3">
        <v>44136</v>
      </c>
      <c r="E648" s="1" t="s">
        <v>10</v>
      </c>
      <c r="F648" s="1" t="s">
        <v>11</v>
      </c>
      <c r="G648" s="1">
        <v>253999059799</v>
      </c>
    </row>
    <row ht="13.8" outlineLevel="0" r="649">
      <c r="A649" s="1" t="s">
        <v>35</v>
      </c>
      <c r="B649" s="1" t="s">
        <v>36</v>
      </c>
      <c r="C649" s="1" t="s">
        <v>37</v>
      </c>
      <c r="D649" s="3">
        <v>44136</v>
      </c>
      <c r="E649" s="1" t="s">
        <v>14</v>
      </c>
      <c r="F649" s="1" t="s">
        <v>15</v>
      </c>
      <c r="G649" s="1">
        <v>118740557372.32</v>
      </c>
    </row>
    <row ht="13.8" outlineLevel="0" r="650">
      <c r="A650" s="1" t="s">
        <v>35</v>
      </c>
      <c r="B650" s="1" t="s">
        <v>36</v>
      </c>
      <c r="C650" s="1" t="s">
        <v>37</v>
      </c>
      <c r="D650" s="3">
        <v>44136</v>
      </c>
      <c r="E650" s="1" t="s">
        <v>16</v>
      </c>
      <c r="F650" s="1" t="s">
        <v>17</v>
      </c>
      <c r="G650" s="1">
        <v>100305747704.77</v>
      </c>
    </row>
    <row ht="13.8" outlineLevel="0" r="651">
      <c r="A651" s="1" t="s">
        <v>35</v>
      </c>
      <c r="B651" s="1" t="s">
        <v>36</v>
      </c>
      <c r="C651" s="1" t="s">
        <v>37</v>
      </c>
      <c r="D651" s="3">
        <v>44136</v>
      </c>
      <c r="E651" s="1" t="s">
        <v>18</v>
      </c>
      <c r="F651" s="1" t="s">
        <v>19</v>
      </c>
      <c r="G651" s="1">
        <v>100301058360.67</v>
      </c>
    </row>
    <row ht="13.8" outlineLevel="0" r="652">
      <c r="A652" s="1" t="s">
        <v>35</v>
      </c>
      <c r="B652" s="1" t="s">
        <v>36</v>
      </c>
      <c r="C652" s="1" t="s">
        <v>37</v>
      </c>
      <c r="D652" s="3">
        <v>44105</v>
      </c>
      <c r="E652" s="1" t="s">
        <v>18</v>
      </c>
      <c r="F652" s="1" t="s">
        <v>19</v>
      </c>
      <c r="G652" s="1">
        <v>99462325807.56</v>
      </c>
    </row>
    <row ht="13.8" outlineLevel="0" r="653">
      <c r="A653" s="1" t="s">
        <v>35</v>
      </c>
      <c r="B653" s="1" t="s">
        <v>36</v>
      </c>
      <c r="C653" s="1" t="s">
        <v>37</v>
      </c>
      <c r="D653" s="3">
        <v>44105</v>
      </c>
      <c r="E653" s="1" t="s">
        <v>10</v>
      </c>
      <c r="F653" s="1" t="s">
        <v>11</v>
      </c>
      <c r="G653" s="1">
        <v>251286834278</v>
      </c>
    </row>
    <row ht="13.8" outlineLevel="0" r="654">
      <c r="A654" s="1" t="s">
        <v>35</v>
      </c>
      <c r="B654" s="1" t="s">
        <v>36</v>
      </c>
      <c r="C654" s="1" t="s">
        <v>37</v>
      </c>
      <c r="D654" s="3">
        <v>44105</v>
      </c>
      <c r="E654" s="1" t="s">
        <v>16</v>
      </c>
      <c r="F654" s="1" t="s">
        <v>17</v>
      </c>
      <c r="G654" s="1">
        <v>99480681543.09</v>
      </c>
    </row>
    <row ht="13.8" outlineLevel="0" r="655">
      <c r="A655" s="1" t="s">
        <v>35</v>
      </c>
      <c r="B655" s="1" t="s">
        <v>36</v>
      </c>
      <c r="C655" s="1" t="s">
        <v>37</v>
      </c>
      <c r="D655" s="3">
        <v>44105</v>
      </c>
      <c r="E655" s="1" t="s">
        <v>14</v>
      </c>
      <c r="F655" s="1" t="s">
        <v>15</v>
      </c>
      <c r="G655" s="1">
        <v>121650855755.72</v>
      </c>
    </row>
    <row ht="13.8" outlineLevel="0" r="656">
      <c r="A656" s="1" t="s">
        <v>35</v>
      </c>
      <c r="B656" s="1" t="s">
        <v>36</v>
      </c>
      <c r="C656" s="1" t="s">
        <v>37</v>
      </c>
      <c r="D656" s="3">
        <v>44075</v>
      </c>
      <c r="E656" s="1" t="s">
        <v>16</v>
      </c>
      <c r="F656" s="1" t="s">
        <v>17</v>
      </c>
      <c r="G656" s="1">
        <v>96353621797.24</v>
      </c>
    </row>
    <row ht="13.8" outlineLevel="0" r="657">
      <c r="A657" s="1" t="s">
        <v>35</v>
      </c>
      <c r="B657" s="1" t="s">
        <v>36</v>
      </c>
      <c r="C657" s="1" t="s">
        <v>37</v>
      </c>
      <c r="D657" s="3">
        <v>44075</v>
      </c>
      <c r="E657" s="1" t="s">
        <v>18</v>
      </c>
      <c r="F657" s="1" t="s">
        <v>19</v>
      </c>
      <c r="G657" s="1">
        <v>96347416316.36</v>
      </c>
    </row>
    <row ht="13.8" outlineLevel="0" r="658">
      <c r="A658" s="1" t="s">
        <v>35</v>
      </c>
      <c r="B658" s="1" t="s">
        <v>36</v>
      </c>
      <c r="C658" s="1" t="s">
        <v>37</v>
      </c>
      <c r="D658" s="3">
        <v>44075</v>
      </c>
      <c r="E658" s="1" t="s">
        <v>14</v>
      </c>
      <c r="F658" s="1" t="s">
        <v>15</v>
      </c>
      <c r="G658" s="1">
        <v>126658486469.88</v>
      </c>
    </row>
    <row ht="13.8" outlineLevel="0" r="659">
      <c r="A659" s="1" t="s">
        <v>35</v>
      </c>
      <c r="B659" s="1" t="s">
        <v>36</v>
      </c>
      <c r="C659" s="1" t="s">
        <v>37</v>
      </c>
      <c r="D659" s="3">
        <v>44075</v>
      </c>
      <c r="E659" s="1" t="s">
        <v>10</v>
      </c>
      <c r="F659" s="1" t="s">
        <v>11</v>
      </c>
      <c r="G659" s="1">
        <v>251287509198</v>
      </c>
    </row>
    <row ht="13.8" outlineLevel="0" r="660">
      <c r="A660" s="1" t="s">
        <v>35</v>
      </c>
      <c r="B660" s="1" t="s">
        <v>36</v>
      </c>
      <c r="C660" s="1" t="s">
        <v>37</v>
      </c>
      <c r="D660" s="3">
        <v>44044</v>
      </c>
      <c r="E660" s="1" t="s">
        <v>18</v>
      </c>
      <c r="F660" s="1" t="s">
        <v>19</v>
      </c>
      <c r="G660" s="1">
        <v>69342309850.03</v>
      </c>
    </row>
    <row ht="13.8" outlineLevel="0" r="661">
      <c r="A661" s="1" t="s">
        <v>35</v>
      </c>
      <c r="B661" s="1" t="s">
        <v>36</v>
      </c>
      <c r="C661" s="1" t="s">
        <v>37</v>
      </c>
      <c r="D661" s="3">
        <v>44044</v>
      </c>
      <c r="E661" s="1" t="s">
        <v>10</v>
      </c>
      <c r="F661" s="1" t="s">
        <v>11</v>
      </c>
      <c r="G661" s="1">
        <v>229489879229</v>
      </c>
    </row>
    <row ht="13.8" outlineLevel="0" r="662">
      <c r="A662" s="1" t="s">
        <v>35</v>
      </c>
      <c r="B662" s="1" t="s">
        <v>36</v>
      </c>
      <c r="C662" s="1" t="s">
        <v>37</v>
      </c>
      <c r="D662" s="3">
        <v>44044</v>
      </c>
      <c r="E662" s="1" t="s">
        <v>14</v>
      </c>
      <c r="F662" s="1" t="s">
        <v>15</v>
      </c>
      <c r="G662" s="1">
        <v>98806825148.38</v>
      </c>
    </row>
    <row ht="13.8" outlineLevel="0" r="663">
      <c r="A663" s="1" t="s">
        <v>35</v>
      </c>
      <c r="B663" s="1" t="s">
        <v>36</v>
      </c>
      <c r="C663" s="1" t="s">
        <v>37</v>
      </c>
      <c r="D663" s="3">
        <v>44044</v>
      </c>
      <c r="E663" s="1" t="s">
        <v>16</v>
      </c>
      <c r="F663" s="1" t="s">
        <v>17</v>
      </c>
      <c r="G663" s="1">
        <v>69404829394.25</v>
      </c>
    </row>
    <row ht="13.8" outlineLevel="0" r="664">
      <c r="A664" s="1" t="s">
        <v>35</v>
      </c>
      <c r="B664" s="1" t="s">
        <v>36</v>
      </c>
      <c r="C664" s="1" t="s">
        <v>37</v>
      </c>
      <c r="D664" s="3">
        <v>44013</v>
      </c>
      <c r="E664" s="1" t="s">
        <v>18</v>
      </c>
      <c r="F664" s="1" t="s">
        <v>19</v>
      </c>
      <c r="G664" s="1">
        <v>47437920593.82</v>
      </c>
    </row>
    <row ht="13.8" outlineLevel="0" r="665">
      <c r="A665" s="1" t="s">
        <v>35</v>
      </c>
      <c r="B665" s="1" t="s">
        <v>36</v>
      </c>
      <c r="C665" s="1" t="s">
        <v>37</v>
      </c>
      <c r="D665" s="3">
        <v>44013</v>
      </c>
      <c r="E665" s="1" t="s">
        <v>16</v>
      </c>
      <c r="F665" s="1" t="s">
        <v>17</v>
      </c>
      <c r="G665" s="1">
        <v>47636188277.21</v>
      </c>
    </row>
    <row ht="13.8" outlineLevel="0" r="666">
      <c r="A666" s="1" t="s">
        <v>35</v>
      </c>
      <c r="B666" s="1" t="s">
        <v>36</v>
      </c>
      <c r="C666" s="1" t="s">
        <v>37</v>
      </c>
      <c r="D666" s="3">
        <v>44013</v>
      </c>
      <c r="E666" s="1" t="s">
        <v>14</v>
      </c>
      <c r="F666" s="1" t="s">
        <v>15</v>
      </c>
      <c r="G666" s="1">
        <v>91896805405.86</v>
      </c>
    </row>
    <row ht="13.8" outlineLevel="0" r="667">
      <c r="A667" s="1" t="s">
        <v>35</v>
      </c>
      <c r="B667" s="1" t="s">
        <v>36</v>
      </c>
      <c r="C667" s="1" t="s">
        <v>37</v>
      </c>
      <c r="D667" s="3">
        <v>44013</v>
      </c>
      <c r="E667" s="1" t="s">
        <v>10</v>
      </c>
      <c r="F667" s="1" t="s">
        <v>11</v>
      </c>
      <c r="G667" s="1">
        <v>229489829229</v>
      </c>
    </row>
    <row ht="13.8" outlineLevel="0" r="668">
      <c r="A668" s="1" t="s">
        <v>35</v>
      </c>
      <c r="B668" s="1" t="s">
        <v>36</v>
      </c>
      <c r="C668" s="1" t="s">
        <v>37</v>
      </c>
      <c r="D668" s="3">
        <v>43983</v>
      </c>
      <c r="E668" s="1" t="s">
        <v>16</v>
      </c>
      <c r="F668" s="1" t="s">
        <v>17</v>
      </c>
      <c r="G668" s="1">
        <v>56905374156.75</v>
      </c>
    </row>
    <row ht="13.8" outlineLevel="0" r="669">
      <c r="A669" s="1" t="s">
        <v>35</v>
      </c>
      <c r="B669" s="1" t="s">
        <v>36</v>
      </c>
      <c r="C669" s="1" t="s">
        <v>37</v>
      </c>
      <c r="D669" s="3">
        <v>43983</v>
      </c>
      <c r="E669" s="1" t="s">
        <v>18</v>
      </c>
      <c r="F669" s="1" t="s">
        <v>19</v>
      </c>
      <c r="G669" s="1">
        <v>56857626019.2</v>
      </c>
    </row>
    <row ht="13.8" outlineLevel="0" r="670">
      <c r="A670" s="1" t="s">
        <v>35</v>
      </c>
      <c r="B670" s="1" t="s">
        <v>36</v>
      </c>
      <c r="C670" s="1" t="s">
        <v>37</v>
      </c>
      <c r="D670" s="3">
        <v>43983</v>
      </c>
      <c r="E670" s="1" t="s">
        <v>14</v>
      </c>
      <c r="F670" s="1" t="s">
        <v>15</v>
      </c>
      <c r="G670" s="1">
        <v>108341488917.26</v>
      </c>
    </row>
    <row ht="13.8" outlineLevel="0" r="671">
      <c r="A671" s="1" t="s">
        <v>35</v>
      </c>
      <c r="B671" s="1" t="s">
        <v>36</v>
      </c>
      <c r="C671" s="1" t="s">
        <v>37</v>
      </c>
      <c r="D671" s="3">
        <v>43983</v>
      </c>
      <c r="E671" s="1" t="s">
        <v>10</v>
      </c>
      <c r="F671" s="1" t="s">
        <v>11</v>
      </c>
      <c r="G671" s="1">
        <v>229484551220</v>
      </c>
    </row>
    <row ht="13.8" outlineLevel="0" r="672">
      <c r="A672" s="1" t="s">
        <v>35</v>
      </c>
      <c r="B672" s="1" t="s">
        <v>36</v>
      </c>
      <c r="C672" s="1" t="s">
        <v>37</v>
      </c>
      <c r="D672" s="3">
        <v>43952</v>
      </c>
      <c r="E672" s="1" t="s">
        <v>14</v>
      </c>
      <c r="F672" s="1" t="s">
        <v>15</v>
      </c>
      <c r="G672" s="1">
        <v>84698436419.51</v>
      </c>
    </row>
    <row ht="13.8" outlineLevel="0" r="673">
      <c r="A673" s="1" t="s">
        <v>35</v>
      </c>
      <c r="B673" s="1" t="s">
        <v>36</v>
      </c>
      <c r="C673" s="1" t="s">
        <v>37</v>
      </c>
      <c r="D673" s="3">
        <v>43952</v>
      </c>
      <c r="E673" s="1" t="s">
        <v>16</v>
      </c>
      <c r="F673" s="1" t="s">
        <v>17</v>
      </c>
      <c r="G673" s="1">
        <v>31351631101.17</v>
      </c>
    </row>
    <row ht="13.8" outlineLevel="0" r="674">
      <c r="A674" s="1" t="s">
        <v>35</v>
      </c>
      <c r="B674" s="1" t="s">
        <v>36</v>
      </c>
      <c r="C674" s="1" t="s">
        <v>37</v>
      </c>
      <c r="D674" s="3">
        <v>43952</v>
      </c>
      <c r="E674" s="1" t="s">
        <v>18</v>
      </c>
      <c r="F674" s="1" t="s">
        <v>19</v>
      </c>
      <c r="G674" s="1">
        <v>31331698613.9</v>
      </c>
    </row>
    <row ht="13.8" outlineLevel="0" r="675">
      <c r="A675" s="1" t="s">
        <v>35</v>
      </c>
      <c r="B675" s="1" t="s">
        <v>36</v>
      </c>
      <c r="C675" s="1" t="s">
        <v>37</v>
      </c>
      <c r="D675" s="3">
        <v>43952</v>
      </c>
      <c r="E675" s="1" t="s">
        <v>10</v>
      </c>
      <c r="F675" s="1" t="s">
        <v>11</v>
      </c>
      <c r="G675" s="1">
        <v>209177222806</v>
      </c>
    </row>
    <row ht="13.8" outlineLevel="0" r="676">
      <c r="A676" s="1" t="s">
        <v>35</v>
      </c>
      <c r="B676" s="1" t="s">
        <v>36</v>
      </c>
      <c r="C676" s="1" t="s">
        <v>37</v>
      </c>
      <c r="D676" s="3">
        <v>43922</v>
      </c>
      <c r="E676" s="1" t="s">
        <v>16</v>
      </c>
      <c r="F676" s="1" t="s">
        <v>17</v>
      </c>
      <c r="G676" s="1">
        <v>28625999964.3</v>
      </c>
    </row>
    <row ht="13.8" outlineLevel="0" r="677">
      <c r="A677" s="1" t="s">
        <v>35</v>
      </c>
      <c r="B677" s="1" t="s">
        <v>36</v>
      </c>
      <c r="C677" s="1" t="s">
        <v>37</v>
      </c>
      <c r="D677" s="3">
        <v>43922</v>
      </c>
      <c r="E677" s="1" t="s">
        <v>18</v>
      </c>
      <c r="F677" s="1" t="s">
        <v>19</v>
      </c>
      <c r="G677" s="1">
        <v>28541417113.56</v>
      </c>
    </row>
    <row ht="13.8" outlineLevel="0" r="678">
      <c r="A678" s="1" t="s">
        <v>35</v>
      </c>
      <c r="B678" s="1" t="s">
        <v>36</v>
      </c>
      <c r="C678" s="1" t="s">
        <v>37</v>
      </c>
      <c r="D678" s="3">
        <v>43922</v>
      </c>
      <c r="E678" s="1" t="s">
        <v>10</v>
      </c>
      <c r="F678" s="1" t="s">
        <v>11</v>
      </c>
      <c r="G678" s="1">
        <v>188281777122</v>
      </c>
    </row>
    <row ht="13.8" outlineLevel="0" r="679">
      <c r="A679" s="1" t="s">
        <v>35</v>
      </c>
      <c r="B679" s="1" t="s">
        <v>36</v>
      </c>
      <c r="C679" s="1" t="s">
        <v>37</v>
      </c>
      <c r="D679" s="3">
        <v>43922</v>
      </c>
      <c r="E679" s="1" t="s">
        <v>14</v>
      </c>
      <c r="F679" s="1" t="s">
        <v>15</v>
      </c>
      <c r="G679" s="1">
        <v>78429497096.23</v>
      </c>
    </row>
    <row ht="13.8" outlineLevel="0" r="680">
      <c r="A680" s="1" t="s">
        <v>35</v>
      </c>
      <c r="B680" s="1" t="s">
        <v>36</v>
      </c>
      <c r="C680" s="1" t="s">
        <v>37</v>
      </c>
      <c r="D680" s="3">
        <v>43891</v>
      </c>
      <c r="E680" s="1" t="s">
        <v>16</v>
      </c>
      <c r="F680" s="1" t="s">
        <v>17</v>
      </c>
      <c r="G680" s="1">
        <v>9152629561.99</v>
      </c>
    </row>
    <row ht="13.8" outlineLevel="0" r="681">
      <c r="A681" s="1" t="s">
        <v>35</v>
      </c>
      <c r="B681" s="1" t="s">
        <v>36</v>
      </c>
      <c r="C681" s="1" t="s">
        <v>37</v>
      </c>
      <c r="D681" s="3">
        <v>43891</v>
      </c>
      <c r="E681" s="1" t="s">
        <v>18</v>
      </c>
      <c r="F681" s="1" t="s">
        <v>19</v>
      </c>
      <c r="G681" s="1">
        <v>9149244253.12</v>
      </c>
    </row>
    <row ht="13.8" outlineLevel="0" r="682">
      <c r="A682" s="1" t="s">
        <v>35</v>
      </c>
      <c r="B682" s="1" t="s">
        <v>36</v>
      </c>
      <c r="C682" s="1" t="s">
        <v>37</v>
      </c>
      <c r="D682" s="3">
        <v>43891</v>
      </c>
      <c r="E682" s="1" t="s">
        <v>10</v>
      </c>
      <c r="F682" s="1" t="s">
        <v>11</v>
      </c>
      <c r="G682" s="1">
        <v>154238017122</v>
      </c>
    </row>
    <row ht="13.8" outlineLevel="0" r="683">
      <c r="A683" s="1" t="s">
        <v>35</v>
      </c>
      <c r="B683" s="1" t="s">
        <v>36</v>
      </c>
      <c r="C683" s="1" t="s">
        <v>37</v>
      </c>
      <c r="D683" s="3">
        <v>43891</v>
      </c>
      <c r="E683" s="1" t="s">
        <v>14</v>
      </c>
      <c r="F683" s="1" t="s">
        <v>15</v>
      </c>
      <c r="G683" s="1">
        <v>45903097435.42</v>
      </c>
    </row>
    <row ht="13.8" outlineLevel="0" r="684">
      <c r="A684" s="1" t="s">
        <v>35</v>
      </c>
      <c r="B684" s="1" t="s">
        <v>36</v>
      </c>
      <c r="C684" s="1" t="s">
        <v>37</v>
      </c>
      <c r="D684" s="3">
        <v>43862</v>
      </c>
      <c r="E684" s="1" t="s">
        <v>10</v>
      </c>
      <c r="F684" s="1" t="s">
        <v>11</v>
      </c>
      <c r="G684" s="1">
        <v>154238017122</v>
      </c>
    </row>
    <row ht="13.8" outlineLevel="0" r="685">
      <c r="A685" s="1" t="s">
        <v>35</v>
      </c>
      <c r="B685" s="1" t="s">
        <v>36</v>
      </c>
      <c r="C685" s="1" t="s">
        <v>37</v>
      </c>
      <c r="D685" s="3">
        <v>43862</v>
      </c>
      <c r="E685" s="1" t="s">
        <v>14</v>
      </c>
      <c r="F685" s="1" t="s">
        <v>15</v>
      </c>
      <c r="G685" s="1">
        <v>45514601689.01</v>
      </c>
    </row>
    <row ht="13.8" outlineLevel="0" r="686">
      <c r="A686" s="1" t="s">
        <v>35</v>
      </c>
      <c r="B686" s="1" t="s">
        <v>36</v>
      </c>
      <c r="C686" s="1" t="s">
        <v>37</v>
      </c>
      <c r="D686" s="3">
        <v>43862</v>
      </c>
      <c r="E686" s="1" t="s">
        <v>16</v>
      </c>
      <c r="F686" s="1" t="s">
        <v>17</v>
      </c>
      <c r="G686" s="1">
        <v>6406584297.18</v>
      </c>
    </row>
    <row ht="13.8" outlineLevel="0" r="687">
      <c r="A687" s="1" t="s">
        <v>35</v>
      </c>
      <c r="B687" s="1" t="s">
        <v>36</v>
      </c>
      <c r="C687" s="1" t="s">
        <v>37</v>
      </c>
      <c r="D687" s="3">
        <v>43862</v>
      </c>
      <c r="E687" s="1" t="s">
        <v>18</v>
      </c>
      <c r="F687" s="1" t="s">
        <v>19</v>
      </c>
      <c r="G687" s="1">
        <v>6322588565.88</v>
      </c>
    </row>
    <row ht="13.8" outlineLevel="0" r="688">
      <c r="A688" s="1" t="s">
        <v>35</v>
      </c>
      <c r="B688" s="1" t="s">
        <v>36</v>
      </c>
      <c r="C688" s="1" t="s">
        <v>37</v>
      </c>
      <c r="D688" s="3">
        <v>43831</v>
      </c>
      <c r="E688" s="1" t="s">
        <v>16</v>
      </c>
      <c r="F688" s="1" t="s">
        <v>17</v>
      </c>
      <c r="G688" s="1">
        <v>2280926424.6</v>
      </c>
    </row>
    <row ht="13.8" outlineLevel="0" r="689">
      <c r="A689" s="1" t="s">
        <v>35</v>
      </c>
      <c r="B689" s="1" t="s">
        <v>36</v>
      </c>
      <c r="C689" s="1" t="s">
        <v>37</v>
      </c>
      <c r="D689" s="3">
        <v>43831</v>
      </c>
      <c r="E689" s="1" t="s">
        <v>18</v>
      </c>
      <c r="F689" s="1" t="s">
        <v>19</v>
      </c>
      <c r="G689" s="1">
        <v>1780489412.32</v>
      </c>
    </row>
    <row ht="13.8" outlineLevel="0" r="690">
      <c r="A690" s="1" t="s">
        <v>35</v>
      </c>
      <c r="B690" s="1" t="s">
        <v>36</v>
      </c>
      <c r="C690" s="1" t="s">
        <v>37</v>
      </c>
      <c r="D690" s="3">
        <v>43831</v>
      </c>
      <c r="E690" s="1" t="s">
        <v>10</v>
      </c>
      <c r="F690" s="1" t="s">
        <v>11</v>
      </c>
      <c r="G690" s="1">
        <v>154238017122</v>
      </c>
    </row>
    <row ht="13.8" outlineLevel="0" r="691">
      <c r="A691" s="1" t="s">
        <v>35</v>
      </c>
      <c r="B691" s="1" t="s">
        <v>36</v>
      </c>
      <c r="C691" s="1" t="s">
        <v>37</v>
      </c>
      <c r="D691" s="3">
        <v>43831</v>
      </c>
      <c r="E691" s="1" t="s">
        <v>14</v>
      </c>
      <c r="F691" s="1" t="s">
        <v>15</v>
      </c>
      <c r="G691" s="1">
        <v>36860829673.2</v>
      </c>
    </row>
    <row ht="13.8" outlineLevel="0" r="692">
      <c r="A692" s="1" t="s">
        <v>35</v>
      </c>
      <c r="B692" s="1" t="s">
        <v>36</v>
      </c>
      <c r="C692" s="1" t="s">
        <v>37</v>
      </c>
      <c r="D692" s="3">
        <v>43800</v>
      </c>
      <c r="E692" s="1" t="s">
        <v>20</v>
      </c>
      <c r="F692" s="1" t="s">
        <v>21</v>
      </c>
      <c r="G692" s="1">
        <v>9864109488.8709</v>
      </c>
    </row>
    <row ht="13.8" outlineLevel="0" r="693">
      <c r="A693" s="1" t="s">
        <v>35</v>
      </c>
      <c r="B693" s="1" t="s">
        <v>36</v>
      </c>
      <c r="C693" s="1" t="s">
        <v>37</v>
      </c>
      <c r="D693" s="3">
        <v>43800</v>
      </c>
      <c r="E693" s="1" t="s">
        <v>16</v>
      </c>
      <c r="F693" s="1" t="s">
        <v>17</v>
      </c>
      <c r="G693" s="1">
        <v>66772204397.5609</v>
      </c>
    </row>
    <row ht="13.8" outlineLevel="0" r="694">
      <c r="A694" s="1" t="s">
        <v>35</v>
      </c>
      <c r="B694" s="1" t="s">
        <v>36</v>
      </c>
      <c r="C694" s="1" t="s">
        <v>37</v>
      </c>
      <c r="D694" s="3">
        <v>43800</v>
      </c>
      <c r="E694" s="1" t="s">
        <v>14</v>
      </c>
      <c r="F694" s="1" t="s">
        <v>15</v>
      </c>
      <c r="G694" s="1">
        <v>76636313886.4318</v>
      </c>
    </row>
    <row ht="13.8" outlineLevel="0" r="695">
      <c r="A695" s="1" t="s">
        <v>35</v>
      </c>
      <c r="B695" s="1" t="s">
        <v>36</v>
      </c>
      <c r="C695" s="1" t="s">
        <v>37</v>
      </c>
      <c r="D695" s="3">
        <v>43800</v>
      </c>
      <c r="E695" s="1" t="s">
        <v>18</v>
      </c>
      <c r="F695" s="1" t="s">
        <v>19</v>
      </c>
      <c r="G695" s="1">
        <v>66688751394.9109</v>
      </c>
    </row>
    <row ht="13.8" outlineLevel="0" r="696">
      <c r="A696" s="1" t="s">
        <v>35</v>
      </c>
      <c r="B696" s="1" t="s">
        <v>36</v>
      </c>
      <c r="C696" s="1" t="s">
        <v>37</v>
      </c>
      <c r="D696" s="3">
        <v>43800</v>
      </c>
      <c r="E696" s="1" t="s">
        <v>10</v>
      </c>
      <c r="F696" s="1" t="s">
        <v>11</v>
      </c>
      <c r="G696" s="1">
        <v>98199027056</v>
      </c>
    </row>
    <row ht="13.8" outlineLevel="0" r="697">
      <c r="A697" s="1" t="s">
        <v>35</v>
      </c>
      <c r="B697" s="1" t="s">
        <v>36</v>
      </c>
      <c r="C697" s="1" t="s">
        <v>37</v>
      </c>
      <c r="D697" s="3">
        <v>43770</v>
      </c>
      <c r="E697" s="1" t="s">
        <v>10</v>
      </c>
      <c r="F697" s="1" t="s">
        <v>11</v>
      </c>
      <c r="G697" s="1">
        <v>94506612096</v>
      </c>
    </row>
    <row ht="13.8" outlineLevel="0" r="698">
      <c r="A698" s="1" t="s">
        <v>35</v>
      </c>
      <c r="B698" s="1" t="s">
        <v>36</v>
      </c>
      <c r="C698" s="1" t="s">
        <v>37</v>
      </c>
      <c r="D698" s="3">
        <v>43770</v>
      </c>
      <c r="E698" s="1" t="s">
        <v>18</v>
      </c>
      <c r="F698" s="1" t="s">
        <v>19</v>
      </c>
      <c r="G698" s="1">
        <v>48372786063.011</v>
      </c>
    </row>
    <row ht="13.8" outlineLevel="0" r="699">
      <c r="A699" s="1" t="s">
        <v>35</v>
      </c>
      <c r="B699" s="1" t="s">
        <v>36</v>
      </c>
      <c r="C699" s="1" t="s">
        <v>37</v>
      </c>
      <c r="D699" s="3">
        <v>43770</v>
      </c>
      <c r="E699" s="1" t="s">
        <v>16</v>
      </c>
      <c r="F699" s="1" t="s">
        <v>17</v>
      </c>
      <c r="G699" s="1">
        <v>51281373560.851</v>
      </c>
    </row>
    <row ht="13.8" outlineLevel="0" r="700">
      <c r="A700" s="1" t="s">
        <v>35</v>
      </c>
      <c r="B700" s="1" t="s">
        <v>36</v>
      </c>
      <c r="C700" s="1" t="s">
        <v>37</v>
      </c>
      <c r="D700" s="3">
        <v>43770</v>
      </c>
      <c r="E700" s="1" t="s">
        <v>14</v>
      </c>
      <c r="F700" s="1" t="s">
        <v>15</v>
      </c>
      <c r="G700" s="1">
        <v>66328519451.4054</v>
      </c>
    </row>
    <row ht="13.8" outlineLevel="0" r="701">
      <c r="A701" s="1" t="s">
        <v>35</v>
      </c>
      <c r="B701" s="1" t="s">
        <v>36</v>
      </c>
      <c r="C701" s="1" t="s">
        <v>37</v>
      </c>
      <c r="D701" s="3">
        <v>43739</v>
      </c>
      <c r="E701" s="1" t="s">
        <v>14</v>
      </c>
      <c r="F701" s="1" t="s">
        <v>15</v>
      </c>
      <c r="G701" s="1">
        <v>60386531563.0162</v>
      </c>
    </row>
    <row ht="13.8" outlineLevel="0" r="702">
      <c r="A702" s="1" t="s">
        <v>35</v>
      </c>
      <c r="B702" s="1" t="s">
        <v>36</v>
      </c>
      <c r="C702" s="1" t="s">
        <v>37</v>
      </c>
      <c r="D702" s="3">
        <v>43739</v>
      </c>
      <c r="E702" s="1" t="s">
        <v>16</v>
      </c>
      <c r="F702" s="1" t="s">
        <v>17</v>
      </c>
      <c r="G702" s="1">
        <v>44183941437.3462</v>
      </c>
    </row>
    <row ht="13.8" outlineLevel="0" r="703">
      <c r="A703" s="1" t="s">
        <v>35</v>
      </c>
      <c r="B703" s="1" t="s">
        <v>36</v>
      </c>
      <c r="C703" s="1" t="s">
        <v>37</v>
      </c>
      <c r="D703" s="3">
        <v>43739</v>
      </c>
      <c r="E703" s="1" t="s">
        <v>10</v>
      </c>
      <c r="F703" s="1" t="s">
        <v>11</v>
      </c>
      <c r="G703" s="1">
        <v>94445345827</v>
      </c>
    </row>
    <row ht="13.8" outlineLevel="0" r="704">
      <c r="A704" s="1" t="s">
        <v>35</v>
      </c>
      <c r="B704" s="1" t="s">
        <v>36</v>
      </c>
      <c r="C704" s="1" t="s">
        <v>37</v>
      </c>
      <c r="D704" s="3">
        <v>43739</v>
      </c>
      <c r="E704" s="1" t="s">
        <v>18</v>
      </c>
      <c r="F704" s="1" t="s">
        <v>19</v>
      </c>
      <c r="G704" s="1">
        <v>43729460422.2262</v>
      </c>
    </row>
    <row ht="13.8" outlineLevel="0" r="705">
      <c r="A705" s="1" t="s">
        <v>35</v>
      </c>
      <c r="B705" s="1" t="s">
        <v>36</v>
      </c>
      <c r="C705" s="1" t="s">
        <v>37</v>
      </c>
      <c r="D705" s="3">
        <v>43709</v>
      </c>
      <c r="E705" s="1" t="s">
        <v>14</v>
      </c>
      <c r="F705" s="1" t="s">
        <v>15</v>
      </c>
      <c r="G705" s="1">
        <v>58449324195.6339</v>
      </c>
    </row>
    <row ht="13.8" outlineLevel="0" r="706">
      <c r="A706" s="1" t="s">
        <v>35</v>
      </c>
      <c r="B706" s="1" t="s">
        <v>36</v>
      </c>
      <c r="C706" s="1" t="s">
        <v>37</v>
      </c>
      <c r="D706" s="3">
        <v>43709</v>
      </c>
      <c r="E706" s="1" t="s">
        <v>10</v>
      </c>
      <c r="F706" s="1" t="s">
        <v>11</v>
      </c>
      <c r="G706" s="1">
        <v>94165717648</v>
      </c>
    </row>
    <row ht="13.8" outlineLevel="0" r="707">
      <c r="A707" s="1" t="s">
        <v>35</v>
      </c>
      <c r="B707" s="1" t="s">
        <v>36</v>
      </c>
      <c r="C707" s="1" t="s">
        <v>37</v>
      </c>
      <c r="D707" s="3">
        <v>43709</v>
      </c>
      <c r="E707" s="1" t="s">
        <v>18</v>
      </c>
      <c r="F707" s="1" t="s">
        <v>19</v>
      </c>
      <c r="G707" s="1">
        <v>40359195907.7939</v>
      </c>
    </row>
    <row ht="13.8" outlineLevel="0" r="708">
      <c r="A708" s="1" t="s">
        <v>35</v>
      </c>
      <c r="B708" s="1" t="s">
        <v>36</v>
      </c>
      <c r="C708" s="1" t="s">
        <v>37</v>
      </c>
      <c r="D708" s="3">
        <v>43709</v>
      </c>
      <c r="E708" s="1" t="s">
        <v>16</v>
      </c>
      <c r="F708" s="1" t="s">
        <v>17</v>
      </c>
      <c r="G708" s="1">
        <v>40416394148.9339</v>
      </c>
    </row>
    <row ht="13.8" outlineLevel="0" r="709">
      <c r="A709" s="1" t="s">
        <v>35</v>
      </c>
      <c r="B709" s="1" t="s">
        <v>36</v>
      </c>
      <c r="C709" s="1" t="s">
        <v>37</v>
      </c>
      <c r="D709" s="3">
        <v>43678</v>
      </c>
      <c r="E709" s="1" t="s">
        <v>18</v>
      </c>
      <c r="F709" s="1" t="s">
        <v>19</v>
      </c>
      <c r="G709" s="1">
        <v>35698430752.5388</v>
      </c>
    </row>
    <row ht="13.8" outlineLevel="0" r="710">
      <c r="A710" s="1" t="s">
        <v>35</v>
      </c>
      <c r="B710" s="1" t="s">
        <v>36</v>
      </c>
      <c r="C710" s="1" t="s">
        <v>37</v>
      </c>
      <c r="D710" s="3">
        <v>43678</v>
      </c>
      <c r="E710" s="1" t="s">
        <v>14</v>
      </c>
      <c r="F710" s="1" t="s">
        <v>15</v>
      </c>
      <c r="G710" s="1">
        <v>57739535280.2188</v>
      </c>
    </row>
    <row ht="13.8" outlineLevel="0" r="711">
      <c r="A711" s="1" t="s">
        <v>35</v>
      </c>
      <c r="B711" s="1" t="s">
        <v>36</v>
      </c>
      <c r="C711" s="1" t="s">
        <v>37</v>
      </c>
      <c r="D711" s="3">
        <v>43678</v>
      </c>
      <c r="E711" s="1" t="s">
        <v>10</v>
      </c>
      <c r="F711" s="1" t="s">
        <v>11</v>
      </c>
      <c r="G711" s="1">
        <v>94225693902</v>
      </c>
    </row>
    <row ht="13.8" outlineLevel="0" r="712">
      <c r="A712" s="1" t="s">
        <v>35</v>
      </c>
      <c r="B712" s="1" t="s">
        <v>36</v>
      </c>
      <c r="C712" s="1" t="s">
        <v>37</v>
      </c>
      <c r="D712" s="3">
        <v>43678</v>
      </c>
      <c r="E712" s="1" t="s">
        <v>16</v>
      </c>
      <c r="F712" s="1" t="s">
        <v>17</v>
      </c>
      <c r="G712" s="1">
        <v>36104642380.2388</v>
      </c>
    </row>
    <row ht="13.8" outlineLevel="0" r="713">
      <c r="A713" s="1" t="s">
        <v>35</v>
      </c>
      <c r="B713" s="1" t="s">
        <v>36</v>
      </c>
      <c r="C713" s="1" t="s">
        <v>37</v>
      </c>
      <c r="D713" s="3">
        <v>43647</v>
      </c>
      <c r="E713" s="1" t="s">
        <v>16</v>
      </c>
      <c r="F713" s="1" t="s">
        <v>17</v>
      </c>
      <c r="G713" s="1">
        <v>31048001388.5868</v>
      </c>
    </row>
    <row ht="13.8" outlineLevel="0" r="714">
      <c r="A714" s="1" t="s">
        <v>35</v>
      </c>
      <c r="B714" s="1" t="s">
        <v>36</v>
      </c>
      <c r="C714" s="1" t="s">
        <v>37</v>
      </c>
      <c r="D714" s="3">
        <v>43647</v>
      </c>
      <c r="E714" s="1" t="s">
        <v>18</v>
      </c>
      <c r="F714" s="1" t="s">
        <v>19</v>
      </c>
      <c r="G714" s="1">
        <v>30558411172.0568</v>
      </c>
    </row>
    <row ht="13.8" outlineLevel="0" r="715">
      <c r="A715" s="1" t="s">
        <v>35</v>
      </c>
      <c r="B715" s="1" t="s">
        <v>36</v>
      </c>
      <c r="C715" s="1" t="s">
        <v>37</v>
      </c>
      <c r="D715" s="3">
        <v>43647</v>
      </c>
      <c r="E715" s="1" t="s">
        <v>10</v>
      </c>
      <c r="F715" s="1" t="s">
        <v>11</v>
      </c>
      <c r="G715" s="1">
        <v>94229593902</v>
      </c>
    </row>
    <row ht="13.8" outlineLevel="0" r="716">
      <c r="A716" s="1" t="s">
        <v>35</v>
      </c>
      <c r="B716" s="1" t="s">
        <v>36</v>
      </c>
      <c r="C716" s="1" t="s">
        <v>37</v>
      </c>
      <c r="D716" s="3">
        <v>43647</v>
      </c>
      <c r="E716" s="1" t="s">
        <v>14</v>
      </c>
      <c r="F716" s="1" t="s">
        <v>15</v>
      </c>
      <c r="G716" s="1">
        <v>56761778690.4568</v>
      </c>
    </row>
    <row ht="13.8" outlineLevel="0" r="717">
      <c r="A717" s="1" t="s">
        <v>35</v>
      </c>
      <c r="B717" s="1" t="s">
        <v>36</v>
      </c>
      <c r="C717" s="1" t="s">
        <v>37</v>
      </c>
      <c r="D717" s="3">
        <v>43617</v>
      </c>
      <c r="E717" s="1" t="s">
        <v>10</v>
      </c>
      <c r="F717" s="1" t="s">
        <v>11</v>
      </c>
      <c r="G717" s="1">
        <v>93232327902</v>
      </c>
    </row>
    <row ht="13.8" outlineLevel="0" r="718">
      <c r="A718" s="1" t="s">
        <v>35</v>
      </c>
      <c r="B718" s="1" t="s">
        <v>36</v>
      </c>
      <c r="C718" s="1" t="s">
        <v>37</v>
      </c>
      <c r="D718" s="3">
        <v>43617</v>
      </c>
      <c r="E718" s="1" t="s">
        <v>18</v>
      </c>
      <c r="F718" s="1" t="s">
        <v>19</v>
      </c>
      <c r="G718" s="1">
        <v>26849093443.9895</v>
      </c>
    </row>
    <row ht="13.8" outlineLevel="0" r="719">
      <c r="A719" s="1" t="s">
        <v>35</v>
      </c>
      <c r="B719" s="1" t="s">
        <v>36</v>
      </c>
      <c r="C719" s="1" t="s">
        <v>37</v>
      </c>
      <c r="D719" s="3">
        <v>43617</v>
      </c>
      <c r="E719" s="1" t="s">
        <v>16</v>
      </c>
      <c r="F719" s="1" t="s">
        <v>17</v>
      </c>
      <c r="G719" s="1">
        <v>27180849672.3495</v>
      </c>
    </row>
    <row ht="13.8" outlineLevel="0" r="720">
      <c r="A720" s="1" t="s">
        <v>35</v>
      </c>
      <c r="B720" s="1" t="s">
        <v>36</v>
      </c>
      <c r="C720" s="1" t="s">
        <v>37</v>
      </c>
      <c r="D720" s="3">
        <v>43617</v>
      </c>
      <c r="E720" s="1" t="s">
        <v>14</v>
      </c>
      <c r="F720" s="1" t="s">
        <v>15</v>
      </c>
      <c r="G720" s="1">
        <v>51844863809.5595</v>
      </c>
    </row>
    <row ht="13.8" outlineLevel="0" r="721">
      <c r="A721" s="1" t="s">
        <v>35</v>
      </c>
      <c r="B721" s="1" t="s">
        <v>36</v>
      </c>
      <c r="C721" s="1" t="s">
        <v>37</v>
      </c>
      <c r="D721" s="3">
        <v>43586</v>
      </c>
      <c r="E721" s="1" t="s">
        <v>10</v>
      </c>
      <c r="F721" s="1" t="s">
        <v>11</v>
      </c>
      <c r="G721" s="1">
        <v>93232327902</v>
      </c>
    </row>
    <row ht="13.8" outlineLevel="0" r="722">
      <c r="A722" s="1" t="s">
        <v>35</v>
      </c>
      <c r="B722" s="1" t="s">
        <v>36</v>
      </c>
      <c r="C722" s="1" t="s">
        <v>37</v>
      </c>
      <c r="D722" s="3">
        <v>43586</v>
      </c>
      <c r="E722" s="1" t="s">
        <v>14</v>
      </c>
      <c r="F722" s="1" t="s">
        <v>15</v>
      </c>
      <c r="G722" s="1">
        <v>48617360804.04</v>
      </c>
    </row>
    <row ht="13.8" outlineLevel="0" r="723">
      <c r="A723" s="1" t="s">
        <v>35</v>
      </c>
      <c r="B723" s="1" t="s">
        <v>36</v>
      </c>
      <c r="C723" s="1" t="s">
        <v>37</v>
      </c>
      <c r="D723" s="3">
        <v>43586</v>
      </c>
      <c r="E723" s="1" t="s">
        <v>18</v>
      </c>
      <c r="F723" s="1" t="s">
        <v>19</v>
      </c>
      <c r="G723" s="1">
        <v>21580737126.41</v>
      </c>
    </row>
    <row ht="13.8" outlineLevel="0" r="724">
      <c r="A724" s="1" t="s">
        <v>35</v>
      </c>
      <c r="B724" s="1" t="s">
        <v>36</v>
      </c>
      <c r="C724" s="1" t="s">
        <v>37</v>
      </c>
      <c r="D724" s="3">
        <v>43586</v>
      </c>
      <c r="E724" s="1" t="s">
        <v>16</v>
      </c>
      <c r="F724" s="1" t="s">
        <v>17</v>
      </c>
      <c r="G724" s="1">
        <v>22277761503.94</v>
      </c>
    </row>
    <row ht="13.8" outlineLevel="0" r="725">
      <c r="A725" s="1" t="s">
        <v>35</v>
      </c>
      <c r="B725" s="1" t="s">
        <v>36</v>
      </c>
      <c r="C725" s="1" t="s">
        <v>37</v>
      </c>
      <c r="D725" s="3">
        <v>43556</v>
      </c>
      <c r="E725" s="1" t="s">
        <v>16</v>
      </c>
      <c r="F725" s="1" t="s">
        <v>17</v>
      </c>
      <c r="G725" s="1">
        <v>16545691655.19</v>
      </c>
    </row>
    <row ht="13.8" outlineLevel="0" r="726">
      <c r="A726" s="1" t="s">
        <v>35</v>
      </c>
      <c r="B726" s="1" t="s">
        <v>36</v>
      </c>
      <c r="C726" s="1" t="s">
        <v>37</v>
      </c>
      <c r="D726" s="3">
        <v>43556</v>
      </c>
      <c r="E726" s="1" t="s">
        <v>18</v>
      </c>
      <c r="F726" s="1" t="s">
        <v>19</v>
      </c>
      <c r="G726" s="1">
        <v>16256422784.34</v>
      </c>
    </row>
    <row ht="13.8" outlineLevel="0" r="727">
      <c r="A727" s="1" t="s">
        <v>35</v>
      </c>
      <c r="B727" s="1" t="s">
        <v>36</v>
      </c>
      <c r="C727" s="1" t="s">
        <v>37</v>
      </c>
      <c r="D727" s="3">
        <v>43556</v>
      </c>
      <c r="E727" s="1" t="s">
        <v>10</v>
      </c>
      <c r="F727" s="1" t="s">
        <v>11</v>
      </c>
      <c r="G727" s="1">
        <v>93029137033</v>
      </c>
    </row>
    <row ht="13.8" outlineLevel="0" r="728">
      <c r="A728" s="1" t="s">
        <v>35</v>
      </c>
      <c r="B728" s="1" t="s">
        <v>36</v>
      </c>
      <c r="C728" s="1" t="s">
        <v>37</v>
      </c>
      <c r="D728" s="3">
        <v>43556</v>
      </c>
      <c r="E728" s="1" t="s">
        <v>14</v>
      </c>
      <c r="F728" s="1" t="s">
        <v>15</v>
      </c>
      <c r="G728" s="1">
        <v>47452823230.76</v>
      </c>
    </row>
    <row ht="13.8" outlineLevel="0" r="729">
      <c r="A729" s="1" t="s">
        <v>35</v>
      </c>
      <c r="B729" s="1" t="s">
        <v>36</v>
      </c>
      <c r="C729" s="1" t="s">
        <v>37</v>
      </c>
      <c r="D729" s="3">
        <v>43525</v>
      </c>
      <c r="E729" s="1" t="s">
        <v>10</v>
      </c>
      <c r="F729" s="1" t="s">
        <v>11</v>
      </c>
      <c r="G729" s="1">
        <v>93023602033</v>
      </c>
    </row>
    <row ht="13.8" outlineLevel="0" r="730">
      <c r="A730" s="1" t="s">
        <v>35</v>
      </c>
      <c r="B730" s="1" t="s">
        <v>36</v>
      </c>
      <c r="C730" s="1" t="s">
        <v>37</v>
      </c>
      <c r="D730" s="3">
        <v>43525</v>
      </c>
      <c r="E730" s="1" t="s">
        <v>18</v>
      </c>
      <c r="F730" s="1" t="s">
        <v>19</v>
      </c>
      <c r="G730" s="1">
        <v>10296004792.18</v>
      </c>
    </row>
    <row ht="13.8" outlineLevel="0" r="731">
      <c r="A731" s="1" t="s">
        <v>35</v>
      </c>
      <c r="B731" s="1" t="s">
        <v>36</v>
      </c>
      <c r="C731" s="1" t="s">
        <v>37</v>
      </c>
      <c r="D731" s="3">
        <v>43525</v>
      </c>
      <c r="E731" s="1" t="s">
        <v>14</v>
      </c>
      <c r="F731" s="1" t="s">
        <v>15</v>
      </c>
      <c r="G731" s="1">
        <v>42856208225.18</v>
      </c>
    </row>
    <row ht="13.8" outlineLevel="0" r="732">
      <c r="A732" s="1" t="s">
        <v>35</v>
      </c>
      <c r="B732" s="1" t="s">
        <v>36</v>
      </c>
      <c r="C732" s="1" t="s">
        <v>37</v>
      </c>
      <c r="D732" s="3">
        <v>43525</v>
      </c>
      <c r="E732" s="1" t="s">
        <v>16</v>
      </c>
      <c r="F732" s="1" t="s">
        <v>17</v>
      </c>
      <c r="G732" s="1">
        <v>10453693337.03</v>
      </c>
    </row>
    <row ht="13.8" outlineLevel="0" r="733">
      <c r="A733" s="1" t="s">
        <v>35</v>
      </c>
      <c r="B733" s="1" t="s">
        <v>36</v>
      </c>
      <c r="C733" s="1" t="s">
        <v>37</v>
      </c>
      <c r="D733" s="3">
        <v>43497</v>
      </c>
      <c r="E733" s="1" t="s">
        <v>10</v>
      </c>
      <c r="F733" s="1" t="s">
        <v>11</v>
      </c>
      <c r="G733" s="1">
        <v>93023602033</v>
      </c>
    </row>
    <row ht="13.8" outlineLevel="0" r="734">
      <c r="A734" s="1" t="s">
        <v>35</v>
      </c>
      <c r="B734" s="1" t="s">
        <v>36</v>
      </c>
      <c r="C734" s="1" t="s">
        <v>37</v>
      </c>
      <c r="D734" s="3">
        <v>43497</v>
      </c>
      <c r="E734" s="1" t="s">
        <v>14</v>
      </c>
      <c r="F734" s="1" t="s">
        <v>15</v>
      </c>
      <c r="G734" s="1">
        <v>42270125880.93</v>
      </c>
    </row>
    <row ht="13.8" outlineLevel="0" r="735">
      <c r="A735" s="1" t="s">
        <v>35</v>
      </c>
      <c r="B735" s="1" t="s">
        <v>36</v>
      </c>
      <c r="C735" s="1" t="s">
        <v>37</v>
      </c>
      <c r="D735" s="3">
        <v>43497</v>
      </c>
      <c r="E735" s="1" t="s">
        <v>16</v>
      </c>
      <c r="F735" s="1" t="s">
        <v>17</v>
      </c>
      <c r="G735" s="1">
        <v>6832439150.15</v>
      </c>
    </row>
    <row ht="13.8" outlineLevel="0" r="736">
      <c r="A736" s="1" t="s">
        <v>35</v>
      </c>
      <c r="B736" s="1" t="s">
        <v>36</v>
      </c>
      <c r="C736" s="1" t="s">
        <v>37</v>
      </c>
      <c r="D736" s="3">
        <v>43497</v>
      </c>
      <c r="E736" s="1" t="s">
        <v>18</v>
      </c>
      <c r="F736" s="1" t="s">
        <v>19</v>
      </c>
      <c r="G736" s="1">
        <v>6588953772.9</v>
      </c>
    </row>
    <row ht="13.8" outlineLevel="0" r="737">
      <c r="A737" s="1" t="s">
        <v>35</v>
      </c>
      <c r="B737" s="1" t="s">
        <v>36</v>
      </c>
      <c r="C737" s="1" t="s">
        <v>37</v>
      </c>
      <c r="D737" s="3">
        <v>43466</v>
      </c>
      <c r="E737" s="1" t="s">
        <v>16</v>
      </c>
      <c r="F737" s="1" t="s">
        <v>17</v>
      </c>
      <c r="G737" s="1">
        <v>4010454677.69</v>
      </c>
    </row>
    <row ht="13.8" outlineLevel="0" r="738">
      <c r="A738" s="1" t="s">
        <v>35</v>
      </c>
      <c r="B738" s="1" t="s">
        <v>36</v>
      </c>
      <c r="C738" s="1" t="s">
        <v>37</v>
      </c>
      <c r="D738" s="3">
        <v>43466</v>
      </c>
      <c r="E738" s="1" t="s">
        <v>10</v>
      </c>
      <c r="F738" s="1" t="s">
        <v>11</v>
      </c>
      <c r="G738" s="1">
        <v>93023602033</v>
      </c>
    </row>
    <row ht="13.8" outlineLevel="0" r="739">
      <c r="A739" s="1" t="s">
        <v>35</v>
      </c>
      <c r="B739" s="1" t="s">
        <v>36</v>
      </c>
      <c r="C739" s="1" t="s">
        <v>37</v>
      </c>
      <c r="D739" s="3">
        <v>43466</v>
      </c>
      <c r="E739" s="1" t="s">
        <v>14</v>
      </c>
      <c r="F739" s="1" t="s">
        <v>15</v>
      </c>
      <c r="G739" s="1">
        <v>42378469157.09</v>
      </c>
    </row>
    <row ht="13.8" outlineLevel="0" r="740">
      <c r="A740" s="1" t="s">
        <v>35</v>
      </c>
      <c r="B740" s="1" t="s">
        <v>36</v>
      </c>
      <c r="C740" s="1" t="s">
        <v>37</v>
      </c>
      <c r="D740" s="3">
        <v>43466</v>
      </c>
      <c r="E740" s="1" t="s">
        <v>18</v>
      </c>
      <c r="F740" s="1" t="s">
        <v>19</v>
      </c>
      <c r="G740" s="1">
        <v>1509768408.12</v>
      </c>
    </row>
    <row ht="13.8" outlineLevel="0" r="741">
      <c r="A741" s="1" t="s">
        <v>29</v>
      </c>
      <c r="B741" s="1" t="s">
        <v>30</v>
      </c>
      <c r="C741" s="1" t="s">
        <v>31</v>
      </c>
      <c r="D741" s="3">
        <v>44197</v>
      </c>
      <c r="E741" s="1" t="s">
        <v>18</v>
      </c>
      <c r="F741" s="1" t="s">
        <v>19</v>
      </c>
      <c r="G741" s="1">
        <v>7619600612.89</v>
      </c>
    </row>
    <row ht="13.8" outlineLevel="0" r="742">
      <c r="A742" s="1" t="s">
        <v>29</v>
      </c>
      <c r="B742" s="1" t="s">
        <v>30</v>
      </c>
      <c r="C742" s="1" t="s">
        <v>31</v>
      </c>
      <c r="D742" s="3">
        <v>44197</v>
      </c>
      <c r="E742" s="1" t="s">
        <v>14</v>
      </c>
      <c r="F742" s="1" t="s">
        <v>15</v>
      </c>
      <c r="G742" s="1">
        <v>49683135468.22</v>
      </c>
    </row>
    <row ht="13.8" outlineLevel="0" r="743">
      <c r="A743" s="1" t="s">
        <v>29</v>
      </c>
      <c r="B743" s="1" t="s">
        <v>30</v>
      </c>
      <c r="C743" s="1" t="s">
        <v>31</v>
      </c>
      <c r="D743" s="3">
        <v>44197</v>
      </c>
      <c r="E743" s="1" t="s">
        <v>10</v>
      </c>
      <c r="F743" s="1" t="s">
        <v>11</v>
      </c>
      <c r="G743" s="1">
        <v>362618192153</v>
      </c>
    </row>
    <row ht="13.8" outlineLevel="0" r="744">
      <c r="A744" s="1" t="s">
        <v>29</v>
      </c>
      <c r="B744" s="1" t="s">
        <v>30</v>
      </c>
      <c r="C744" s="1" t="s">
        <v>31</v>
      </c>
      <c r="D744" s="3">
        <v>44197</v>
      </c>
      <c r="E744" s="1" t="s">
        <v>16</v>
      </c>
      <c r="F744" s="1" t="s">
        <v>17</v>
      </c>
      <c r="G744" s="1">
        <v>7619600612.89</v>
      </c>
    </row>
    <row ht="13.8" outlineLevel="0" r="745">
      <c r="A745" s="1" t="s">
        <v>29</v>
      </c>
      <c r="B745" s="1" t="s">
        <v>30</v>
      </c>
      <c r="C745" s="1" t="s">
        <v>31</v>
      </c>
      <c r="D745" s="3">
        <v>44166</v>
      </c>
      <c r="E745" s="1" t="s">
        <v>18</v>
      </c>
      <c r="F745" s="1" t="s">
        <v>19</v>
      </c>
      <c r="G745" s="1">
        <v>346683852485.35</v>
      </c>
    </row>
    <row ht="13.8" outlineLevel="0" r="746">
      <c r="A746" s="1" t="s">
        <v>29</v>
      </c>
      <c r="B746" s="1" t="s">
        <v>30</v>
      </c>
      <c r="C746" s="1" t="s">
        <v>31</v>
      </c>
      <c r="D746" s="3">
        <v>44166</v>
      </c>
      <c r="E746" s="1" t="s">
        <v>16</v>
      </c>
      <c r="F746" s="1" t="s">
        <v>17</v>
      </c>
      <c r="G746" s="1">
        <v>346683921120.53</v>
      </c>
    </row>
    <row ht="13.8" outlineLevel="0" r="747">
      <c r="A747" s="1" t="s">
        <v>29</v>
      </c>
      <c r="B747" s="1" t="s">
        <v>30</v>
      </c>
      <c r="C747" s="1" t="s">
        <v>31</v>
      </c>
      <c r="D747" s="3">
        <v>44166</v>
      </c>
      <c r="E747" s="1" t="s">
        <v>20</v>
      </c>
      <c r="F747" s="1" t="s">
        <v>21</v>
      </c>
      <c r="G747" s="1">
        <v>160649324.38</v>
      </c>
    </row>
    <row ht="13.8" outlineLevel="0" r="748">
      <c r="A748" s="1" t="s">
        <v>29</v>
      </c>
      <c r="B748" s="1" t="s">
        <v>30</v>
      </c>
      <c r="C748" s="1" t="s">
        <v>31</v>
      </c>
      <c r="D748" s="3">
        <v>44166</v>
      </c>
      <c r="E748" s="1" t="s">
        <v>14</v>
      </c>
      <c r="F748" s="1" t="s">
        <v>15</v>
      </c>
      <c r="G748" s="1">
        <v>346844570444.91</v>
      </c>
    </row>
    <row ht="13.8" outlineLevel="0" r="749">
      <c r="A749" s="1" t="s">
        <v>29</v>
      </c>
      <c r="B749" s="1" t="s">
        <v>30</v>
      </c>
      <c r="C749" s="1" t="s">
        <v>31</v>
      </c>
      <c r="D749" s="3">
        <v>44166</v>
      </c>
      <c r="E749" s="1" t="s">
        <v>10</v>
      </c>
      <c r="F749" s="1" t="s">
        <v>11</v>
      </c>
      <c r="G749" s="1">
        <v>409567477446</v>
      </c>
    </row>
    <row ht="13.8" outlineLevel="0" r="750">
      <c r="A750" s="1" t="s">
        <v>29</v>
      </c>
      <c r="B750" s="1" t="s">
        <v>30</v>
      </c>
      <c r="C750" s="1" t="s">
        <v>31</v>
      </c>
      <c r="D750" s="3">
        <v>44136</v>
      </c>
      <c r="E750" s="1" t="s">
        <v>10</v>
      </c>
      <c r="F750" s="1" t="s">
        <v>11</v>
      </c>
      <c r="G750" s="1">
        <v>409567477446</v>
      </c>
    </row>
    <row ht="13.8" outlineLevel="0" r="751">
      <c r="A751" s="1" t="s">
        <v>29</v>
      </c>
      <c r="B751" s="1" t="s">
        <v>30</v>
      </c>
      <c r="C751" s="1" t="s">
        <v>31</v>
      </c>
      <c r="D751" s="3">
        <v>44136</v>
      </c>
      <c r="E751" s="1" t="s">
        <v>18</v>
      </c>
      <c r="F751" s="1" t="s">
        <v>19</v>
      </c>
      <c r="G751" s="1">
        <v>343013424503.46</v>
      </c>
    </row>
    <row ht="13.8" outlineLevel="0" r="752">
      <c r="A752" s="1" t="s">
        <v>29</v>
      </c>
      <c r="B752" s="1" t="s">
        <v>30</v>
      </c>
      <c r="C752" s="1" t="s">
        <v>31</v>
      </c>
      <c r="D752" s="3">
        <v>44136</v>
      </c>
      <c r="E752" s="1" t="s">
        <v>16</v>
      </c>
      <c r="F752" s="1" t="s">
        <v>17</v>
      </c>
      <c r="G752" s="1">
        <v>343013687951.52</v>
      </c>
    </row>
    <row ht="13.8" outlineLevel="0" r="753">
      <c r="A753" s="1" t="s">
        <v>29</v>
      </c>
      <c r="B753" s="1" t="s">
        <v>30</v>
      </c>
      <c r="C753" s="1" t="s">
        <v>31</v>
      </c>
      <c r="D753" s="3">
        <v>44136</v>
      </c>
      <c r="E753" s="1" t="s">
        <v>14</v>
      </c>
      <c r="F753" s="1" t="s">
        <v>15</v>
      </c>
      <c r="G753" s="1">
        <v>348203561245.47</v>
      </c>
    </row>
    <row ht="13.8" outlineLevel="0" r="754">
      <c r="A754" s="1" t="s">
        <v>29</v>
      </c>
      <c r="B754" s="1" t="s">
        <v>30</v>
      </c>
      <c r="C754" s="1" t="s">
        <v>31</v>
      </c>
      <c r="D754" s="3">
        <v>44105</v>
      </c>
      <c r="E754" s="1" t="s">
        <v>18</v>
      </c>
      <c r="F754" s="1" t="s">
        <v>19</v>
      </c>
      <c r="G754" s="1">
        <v>320312966971.69</v>
      </c>
    </row>
    <row ht="13.8" outlineLevel="0" r="755">
      <c r="A755" s="1" t="s">
        <v>29</v>
      </c>
      <c r="B755" s="1" t="s">
        <v>30</v>
      </c>
      <c r="C755" s="1" t="s">
        <v>31</v>
      </c>
      <c r="D755" s="3">
        <v>44105</v>
      </c>
      <c r="E755" s="1" t="s">
        <v>16</v>
      </c>
      <c r="F755" s="1" t="s">
        <v>17</v>
      </c>
      <c r="G755" s="1">
        <v>320313176248.3</v>
      </c>
    </row>
    <row ht="13.8" outlineLevel="0" r="756">
      <c r="A756" s="1" t="s">
        <v>29</v>
      </c>
      <c r="B756" s="1" t="s">
        <v>30</v>
      </c>
      <c r="C756" s="1" t="s">
        <v>31</v>
      </c>
      <c r="D756" s="3">
        <v>44105</v>
      </c>
      <c r="E756" s="1" t="s">
        <v>14</v>
      </c>
      <c r="F756" s="1" t="s">
        <v>15</v>
      </c>
      <c r="G756" s="1">
        <v>326460646752.32</v>
      </c>
    </row>
    <row ht="13.8" outlineLevel="0" r="757">
      <c r="A757" s="1" t="s">
        <v>29</v>
      </c>
      <c r="B757" s="1" t="s">
        <v>30</v>
      </c>
      <c r="C757" s="1" t="s">
        <v>31</v>
      </c>
      <c r="D757" s="3">
        <v>44105</v>
      </c>
      <c r="E757" s="1" t="s">
        <v>10</v>
      </c>
      <c r="F757" s="1" t="s">
        <v>11</v>
      </c>
      <c r="G757" s="1">
        <v>409567477446</v>
      </c>
    </row>
    <row ht="13.8" outlineLevel="0" r="758">
      <c r="A758" s="1" t="s">
        <v>29</v>
      </c>
      <c r="B758" s="1" t="s">
        <v>30</v>
      </c>
      <c r="C758" s="1" t="s">
        <v>31</v>
      </c>
      <c r="D758" s="3">
        <v>44075</v>
      </c>
      <c r="E758" s="1" t="s">
        <v>18</v>
      </c>
      <c r="F758" s="1" t="s">
        <v>19</v>
      </c>
      <c r="G758" s="1">
        <v>311287875741.23</v>
      </c>
    </row>
    <row ht="13.8" outlineLevel="0" r="759">
      <c r="A759" s="1" t="s">
        <v>29</v>
      </c>
      <c r="B759" s="1" t="s">
        <v>30</v>
      </c>
      <c r="C759" s="1" t="s">
        <v>31</v>
      </c>
      <c r="D759" s="3">
        <v>44075</v>
      </c>
      <c r="E759" s="1" t="s">
        <v>16</v>
      </c>
      <c r="F759" s="1" t="s">
        <v>17</v>
      </c>
      <c r="G759" s="1">
        <v>311287875741.23</v>
      </c>
    </row>
    <row ht="13.8" outlineLevel="0" r="760">
      <c r="A760" s="1" t="s">
        <v>29</v>
      </c>
      <c r="B760" s="1" t="s">
        <v>30</v>
      </c>
      <c r="C760" s="1" t="s">
        <v>31</v>
      </c>
      <c r="D760" s="3">
        <v>44075</v>
      </c>
      <c r="E760" s="1" t="s">
        <v>14</v>
      </c>
      <c r="F760" s="1" t="s">
        <v>15</v>
      </c>
      <c r="G760" s="1">
        <v>318786769849.37</v>
      </c>
    </row>
    <row ht="13.8" outlineLevel="0" r="761">
      <c r="A761" s="1" t="s">
        <v>29</v>
      </c>
      <c r="B761" s="1" t="s">
        <v>30</v>
      </c>
      <c r="C761" s="1" t="s">
        <v>31</v>
      </c>
      <c r="D761" s="3">
        <v>44075</v>
      </c>
      <c r="E761" s="1" t="s">
        <v>10</v>
      </c>
      <c r="F761" s="1" t="s">
        <v>11</v>
      </c>
      <c r="G761" s="1">
        <v>409567477446</v>
      </c>
    </row>
    <row ht="13.8" outlineLevel="0" r="762">
      <c r="A762" s="1" t="s">
        <v>29</v>
      </c>
      <c r="B762" s="1" t="s">
        <v>30</v>
      </c>
      <c r="C762" s="1" t="s">
        <v>31</v>
      </c>
      <c r="D762" s="3">
        <v>44044</v>
      </c>
      <c r="E762" s="1" t="s">
        <v>14</v>
      </c>
      <c r="F762" s="1" t="s">
        <v>15</v>
      </c>
      <c r="G762" s="1">
        <v>301955192526.75</v>
      </c>
    </row>
    <row ht="13.8" outlineLevel="0" r="763">
      <c r="A763" s="1" t="s">
        <v>29</v>
      </c>
      <c r="B763" s="1" t="s">
        <v>30</v>
      </c>
      <c r="C763" s="1" t="s">
        <v>31</v>
      </c>
      <c r="D763" s="3">
        <v>44044</v>
      </c>
      <c r="E763" s="1" t="s">
        <v>18</v>
      </c>
      <c r="F763" s="1" t="s">
        <v>19</v>
      </c>
      <c r="G763" s="1">
        <v>284339905330.89</v>
      </c>
    </row>
    <row ht="13.8" outlineLevel="0" r="764">
      <c r="A764" s="1" t="s">
        <v>29</v>
      </c>
      <c r="B764" s="1" t="s">
        <v>30</v>
      </c>
      <c r="C764" s="1" t="s">
        <v>31</v>
      </c>
      <c r="D764" s="3">
        <v>44044</v>
      </c>
      <c r="E764" s="1" t="s">
        <v>16</v>
      </c>
      <c r="F764" s="1" t="s">
        <v>17</v>
      </c>
      <c r="G764" s="1">
        <v>284339905330.89</v>
      </c>
    </row>
    <row ht="13.8" outlineLevel="0" r="765">
      <c r="A765" s="1" t="s">
        <v>29</v>
      </c>
      <c r="B765" s="1" t="s">
        <v>30</v>
      </c>
      <c r="C765" s="1" t="s">
        <v>31</v>
      </c>
      <c r="D765" s="3">
        <v>44044</v>
      </c>
      <c r="E765" s="1" t="s">
        <v>10</v>
      </c>
      <c r="F765" s="1" t="s">
        <v>11</v>
      </c>
      <c r="G765" s="1">
        <v>409568014446</v>
      </c>
    </row>
    <row ht="13.8" outlineLevel="0" r="766">
      <c r="A766" s="1" t="s">
        <v>29</v>
      </c>
      <c r="B766" s="1" t="s">
        <v>30</v>
      </c>
      <c r="C766" s="1" t="s">
        <v>31</v>
      </c>
      <c r="D766" s="3">
        <v>44013</v>
      </c>
      <c r="E766" s="1" t="s">
        <v>18</v>
      </c>
      <c r="F766" s="1" t="s">
        <v>19</v>
      </c>
      <c r="G766" s="1">
        <v>262660004917.88</v>
      </c>
    </row>
    <row ht="13.8" outlineLevel="0" r="767">
      <c r="A767" s="1" t="s">
        <v>29</v>
      </c>
      <c r="B767" s="1" t="s">
        <v>30</v>
      </c>
      <c r="C767" s="1" t="s">
        <v>31</v>
      </c>
      <c r="D767" s="3">
        <v>44013</v>
      </c>
      <c r="E767" s="1" t="s">
        <v>14</v>
      </c>
      <c r="F767" s="1" t="s">
        <v>15</v>
      </c>
      <c r="G767" s="1">
        <v>280374476361.41</v>
      </c>
    </row>
    <row ht="13.8" outlineLevel="0" r="768">
      <c r="A768" s="1" t="s">
        <v>29</v>
      </c>
      <c r="B768" s="1" t="s">
        <v>30</v>
      </c>
      <c r="C768" s="1" t="s">
        <v>31</v>
      </c>
      <c r="D768" s="3">
        <v>44013</v>
      </c>
      <c r="E768" s="1" t="s">
        <v>10</v>
      </c>
      <c r="F768" s="1" t="s">
        <v>11</v>
      </c>
      <c r="G768" s="1">
        <v>409567187176</v>
      </c>
    </row>
    <row ht="13.8" outlineLevel="0" r="769">
      <c r="A769" s="1" t="s">
        <v>29</v>
      </c>
      <c r="B769" s="1" t="s">
        <v>30</v>
      </c>
      <c r="C769" s="1" t="s">
        <v>31</v>
      </c>
      <c r="D769" s="3">
        <v>44013</v>
      </c>
      <c r="E769" s="1" t="s">
        <v>16</v>
      </c>
      <c r="F769" s="1" t="s">
        <v>17</v>
      </c>
      <c r="G769" s="1">
        <v>262660004917.88</v>
      </c>
    </row>
    <row ht="13.8" outlineLevel="0" r="770">
      <c r="A770" s="1" t="s">
        <v>29</v>
      </c>
      <c r="B770" s="1" t="s">
        <v>30</v>
      </c>
      <c r="C770" s="1" t="s">
        <v>31</v>
      </c>
      <c r="D770" s="3">
        <v>43983</v>
      </c>
      <c r="E770" s="1" t="s">
        <v>14</v>
      </c>
      <c r="F770" s="1" t="s">
        <v>15</v>
      </c>
      <c r="G770" s="1">
        <v>178699921183.57</v>
      </c>
    </row>
    <row ht="13.8" outlineLevel="0" r="771">
      <c r="A771" s="1" t="s">
        <v>29</v>
      </c>
      <c r="B771" s="1" t="s">
        <v>30</v>
      </c>
      <c r="C771" s="1" t="s">
        <v>31</v>
      </c>
      <c r="D771" s="3">
        <v>43983</v>
      </c>
      <c r="E771" s="1" t="s">
        <v>10</v>
      </c>
      <c r="F771" s="1" t="s">
        <v>11</v>
      </c>
      <c r="G771" s="1">
        <v>409567187176</v>
      </c>
    </row>
    <row ht="13.8" outlineLevel="0" r="772">
      <c r="A772" s="1" t="s">
        <v>29</v>
      </c>
      <c r="B772" s="1" t="s">
        <v>30</v>
      </c>
      <c r="C772" s="1" t="s">
        <v>31</v>
      </c>
      <c r="D772" s="3">
        <v>43983</v>
      </c>
      <c r="E772" s="1" t="s">
        <v>16</v>
      </c>
      <c r="F772" s="1" t="s">
        <v>17</v>
      </c>
      <c r="G772" s="1">
        <v>160280036613.98</v>
      </c>
    </row>
    <row ht="13.8" outlineLevel="0" r="773">
      <c r="A773" s="1" t="s">
        <v>29</v>
      </c>
      <c r="B773" s="1" t="s">
        <v>30</v>
      </c>
      <c r="C773" s="1" t="s">
        <v>31</v>
      </c>
      <c r="D773" s="3">
        <v>43983</v>
      </c>
      <c r="E773" s="1" t="s">
        <v>18</v>
      </c>
      <c r="F773" s="1" t="s">
        <v>19</v>
      </c>
      <c r="G773" s="1">
        <v>160280036613.98</v>
      </c>
    </row>
    <row ht="13.8" outlineLevel="0" r="774">
      <c r="A774" s="1" t="s">
        <v>29</v>
      </c>
      <c r="B774" s="1" t="s">
        <v>30</v>
      </c>
      <c r="C774" s="1" t="s">
        <v>31</v>
      </c>
      <c r="D774" s="3">
        <v>43952</v>
      </c>
      <c r="E774" s="1" t="s">
        <v>18</v>
      </c>
      <c r="F774" s="1" t="s">
        <v>19</v>
      </c>
      <c r="G774" s="1">
        <v>158796507244.46</v>
      </c>
    </row>
    <row ht="13.8" outlineLevel="0" r="775">
      <c r="A775" s="1" t="s">
        <v>29</v>
      </c>
      <c r="B775" s="1" t="s">
        <v>30</v>
      </c>
      <c r="C775" s="1" t="s">
        <v>31</v>
      </c>
      <c r="D775" s="3">
        <v>43952</v>
      </c>
      <c r="E775" s="1" t="s">
        <v>14</v>
      </c>
      <c r="F775" s="1" t="s">
        <v>15</v>
      </c>
      <c r="G775" s="1">
        <v>177765507402.71</v>
      </c>
    </row>
    <row ht="13.8" outlineLevel="0" r="776">
      <c r="A776" s="1" t="s">
        <v>29</v>
      </c>
      <c r="B776" s="1" t="s">
        <v>30</v>
      </c>
      <c r="C776" s="1" t="s">
        <v>31</v>
      </c>
      <c r="D776" s="3">
        <v>43952</v>
      </c>
      <c r="E776" s="1" t="s">
        <v>10</v>
      </c>
      <c r="F776" s="1" t="s">
        <v>11</v>
      </c>
      <c r="G776" s="1">
        <v>409567187176</v>
      </c>
    </row>
    <row ht="13.8" outlineLevel="0" r="777">
      <c r="A777" s="1" t="s">
        <v>29</v>
      </c>
      <c r="B777" s="1" t="s">
        <v>30</v>
      </c>
      <c r="C777" s="1" t="s">
        <v>31</v>
      </c>
      <c r="D777" s="3">
        <v>43952</v>
      </c>
      <c r="E777" s="1" t="s">
        <v>16</v>
      </c>
      <c r="F777" s="1" t="s">
        <v>17</v>
      </c>
      <c r="G777" s="1">
        <v>158796507244.46</v>
      </c>
    </row>
    <row ht="13.8" outlineLevel="0" r="778">
      <c r="A778" s="1" t="s">
        <v>29</v>
      </c>
      <c r="B778" s="1" t="s">
        <v>30</v>
      </c>
      <c r="C778" s="1" t="s">
        <v>31</v>
      </c>
      <c r="D778" s="3">
        <v>43922</v>
      </c>
      <c r="E778" s="1" t="s">
        <v>18</v>
      </c>
      <c r="F778" s="1" t="s">
        <v>19</v>
      </c>
      <c r="G778" s="1">
        <v>139638758273.96</v>
      </c>
    </row>
    <row ht="13.8" outlineLevel="0" r="779">
      <c r="A779" s="1" t="s">
        <v>29</v>
      </c>
      <c r="B779" s="1" t="s">
        <v>30</v>
      </c>
      <c r="C779" s="1" t="s">
        <v>31</v>
      </c>
      <c r="D779" s="3">
        <v>43922</v>
      </c>
      <c r="E779" s="1" t="s">
        <v>16</v>
      </c>
      <c r="F779" s="1" t="s">
        <v>17</v>
      </c>
      <c r="G779" s="1">
        <v>139638758273.96</v>
      </c>
    </row>
    <row ht="13.8" outlineLevel="0" r="780">
      <c r="A780" s="1" t="s">
        <v>29</v>
      </c>
      <c r="B780" s="1" t="s">
        <v>30</v>
      </c>
      <c r="C780" s="1" t="s">
        <v>31</v>
      </c>
      <c r="D780" s="3">
        <v>43922</v>
      </c>
      <c r="E780" s="1" t="s">
        <v>10</v>
      </c>
      <c r="F780" s="1" t="s">
        <v>11</v>
      </c>
      <c r="G780" s="1">
        <v>409567187176</v>
      </c>
    </row>
    <row ht="13.8" outlineLevel="0" r="781">
      <c r="A781" s="1" t="s">
        <v>29</v>
      </c>
      <c r="B781" s="1" t="s">
        <v>30</v>
      </c>
      <c r="C781" s="1" t="s">
        <v>31</v>
      </c>
      <c r="D781" s="3">
        <v>43922</v>
      </c>
      <c r="E781" s="1" t="s">
        <v>14</v>
      </c>
      <c r="F781" s="1" t="s">
        <v>15</v>
      </c>
      <c r="G781" s="1">
        <v>141696081984.8</v>
      </c>
    </row>
    <row ht="13.8" outlineLevel="0" r="782">
      <c r="A782" s="1" t="s">
        <v>29</v>
      </c>
      <c r="B782" s="1" t="s">
        <v>30</v>
      </c>
      <c r="C782" s="1" t="s">
        <v>31</v>
      </c>
      <c r="D782" s="3">
        <v>43891</v>
      </c>
      <c r="E782" s="1" t="s">
        <v>10</v>
      </c>
      <c r="F782" s="1" t="s">
        <v>11</v>
      </c>
      <c r="G782" s="1">
        <v>409567187176</v>
      </c>
    </row>
    <row ht="13.8" outlineLevel="0" r="783">
      <c r="A783" s="1" t="s">
        <v>29</v>
      </c>
      <c r="B783" s="1" t="s">
        <v>30</v>
      </c>
      <c r="C783" s="1" t="s">
        <v>31</v>
      </c>
      <c r="D783" s="3">
        <v>43891</v>
      </c>
      <c r="E783" s="1" t="s">
        <v>14</v>
      </c>
      <c r="F783" s="1" t="s">
        <v>15</v>
      </c>
      <c r="G783" s="1">
        <v>140968684982.14</v>
      </c>
    </row>
    <row ht="13.8" outlineLevel="0" r="784">
      <c r="A784" s="1" t="s">
        <v>29</v>
      </c>
      <c r="B784" s="1" t="s">
        <v>30</v>
      </c>
      <c r="C784" s="1" t="s">
        <v>31</v>
      </c>
      <c r="D784" s="3">
        <v>43891</v>
      </c>
      <c r="E784" s="1" t="s">
        <v>16</v>
      </c>
      <c r="F784" s="1" t="s">
        <v>17</v>
      </c>
      <c r="G784" s="1">
        <v>135123053680.56</v>
      </c>
    </row>
    <row ht="13.8" outlineLevel="0" r="785">
      <c r="A785" s="1" t="s">
        <v>29</v>
      </c>
      <c r="B785" s="1" t="s">
        <v>30</v>
      </c>
      <c r="C785" s="1" t="s">
        <v>31</v>
      </c>
      <c r="D785" s="3">
        <v>43891</v>
      </c>
      <c r="E785" s="1" t="s">
        <v>18</v>
      </c>
      <c r="F785" s="1" t="s">
        <v>19</v>
      </c>
      <c r="G785" s="1">
        <v>135123053680.56</v>
      </c>
    </row>
    <row ht="13.8" outlineLevel="0" r="786">
      <c r="A786" s="1" t="s">
        <v>29</v>
      </c>
      <c r="B786" s="1" t="s">
        <v>30</v>
      </c>
      <c r="C786" s="1" t="s">
        <v>31</v>
      </c>
      <c r="D786" s="3">
        <v>43862</v>
      </c>
      <c r="E786" s="1" t="s">
        <v>16</v>
      </c>
      <c r="F786" s="1" t="s">
        <v>17</v>
      </c>
      <c r="G786" s="1">
        <v>100534427988.76</v>
      </c>
    </row>
    <row ht="13.8" outlineLevel="0" r="787">
      <c r="A787" s="1" t="s">
        <v>29</v>
      </c>
      <c r="B787" s="1" t="s">
        <v>30</v>
      </c>
      <c r="C787" s="1" t="s">
        <v>31</v>
      </c>
      <c r="D787" s="3">
        <v>43862</v>
      </c>
      <c r="E787" s="1" t="s">
        <v>14</v>
      </c>
      <c r="F787" s="1" t="s">
        <v>15</v>
      </c>
      <c r="G787" s="1">
        <v>110821260459.16</v>
      </c>
    </row>
    <row ht="13.8" outlineLevel="0" r="788">
      <c r="A788" s="1" t="s">
        <v>29</v>
      </c>
      <c r="B788" s="1" t="s">
        <v>30</v>
      </c>
      <c r="C788" s="1" t="s">
        <v>31</v>
      </c>
      <c r="D788" s="3">
        <v>43862</v>
      </c>
      <c r="E788" s="1" t="s">
        <v>18</v>
      </c>
      <c r="F788" s="1" t="s">
        <v>19</v>
      </c>
      <c r="G788" s="1">
        <v>100534427988.76</v>
      </c>
    </row>
    <row ht="13.8" outlineLevel="0" r="789">
      <c r="A789" s="1" t="s">
        <v>29</v>
      </c>
      <c r="B789" s="1" t="s">
        <v>30</v>
      </c>
      <c r="C789" s="1" t="s">
        <v>31</v>
      </c>
      <c r="D789" s="3">
        <v>43862</v>
      </c>
      <c r="E789" s="1" t="s">
        <v>10</v>
      </c>
      <c r="F789" s="1" t="s">
        <v>11</v>
      </c>
      <c r="G789" s="1">
        <v>409567187176</v>
      </c>
    </row>
    <row ht="13.8" outlineLevel="0" r="790">
      <c r="A790" s="1" t="s">
        <v>29</v>
      </c>
      <c r="B790" s="1" t="s">
        <v>30</v>
      </c>
      <c r="C790" s="1" t="s">
        <v>31</v>
      </c>
      <c r="D790" s="3">
        <v>43831</v>
      </c>
      <c r="E790" s="1" t="s">
        <v>14</v>
      </c>
      <c r="F790" s="1" t="s">
        <v>15</v>
      </c>
      <c r="G790" s="1">
        <v>84426501716.42</v>
      </c>
    </row>
    <row ht="13.8" outlineLevel="0" r="791">
      <c r="A791" s="1" t="s">
        <v>29</v>
      </c>
      <c r="B791" s="1" t="s">
        <v>30</v>
      </c>
      <c r="C791" s="1" t="s">
        <v>31</v>
      </c>
      <c r="D791" s="3">
        <v>43831</v>
      </c>
      <c r="E791" s="1" t="s">
        <v>10</v>
      </c>
      <c r="F791" s="1" t="s">
        <v>11</v>
      </c>
      <c r="G791" s="1">
        <v>409567187176</v>
      </c>
    </row>
    <row ht="13.8" outlineLevel="0" r="792">
      <c r="A792" s="1" t="s">
        <v>29</v>
      </c>
      <c r="B792" s="1" t="s">
        <v>30</v>
      </c>
      <c r="C792" s="1" t="s">
        <v>31</v>
      </c>
      <c r="D792" s="3">
        <v>43831</v>
      </c>
      <c r="E792" s="1" t="s">
        <v>16</v>
      </c>
      <c r="F792" s="1" t="s">
        <v>17</v>
      </c>
      <c r="G792" s="1">
        <v>73339172031.46</v>
      </c>
    </row>
    <row ht="13.8" outlineLevel="0" r="793">
      <c r="A793" s="1" t="s">
        <v>29</v>
      </c>
      <c r="B793" s="1" t="s">
        <v>30</v>
      </c>
      <c r="C793" s="1" t="s">
        <v>31</v>
      </c>
      <c r="D793" s="3">
        <v>43831</v>
      </c>
      <c r="E793" s="1" t="s">
        <v>18</v>
      </c>
      <c r="F793" s="1" t="s">
        <v>19</v>
      </c>
      <c r="G793" s="1">
        <v>73339172031.46</v>
      </c>
    </row>
    <row ht="13.8" outlineLevel="0" r="794">
      <c r="A794" s="1" t="s">
        <v>29</v>
      </c>
      <c r="B794" s="1" t="s">
        <v>30</v>
      </c>
      <c r="C794" s="1" t="s">
        <v>31</v>
      </c>
      <c r="D794" s="3">
        <v>43800</v>
      </c>
      <c r="E794" s="1" t="s">
        <v>18</v>
      </c>
      <c r="F794" s="1" t="s">
        <v>19</v>
      </c>
      <c r="G794" s="1">
        <v>285094343405.82</v>
      </c>
    </row>
    <row ht="13.8" outlineLevel="0" r="795">
      <c r="A795" s="1" t="s">
        <v>29</v>
      </c>
      <c r="B795" s="1" t="s">
        <v>30</v>
      </c>
      <c r="C795" s="1" t="s">
        <v>31</v>
      </c>
      <c r="D795" s="3">
        <v>43800</v>
      </c>
      <c r="E795" s="1" t="s">
        <v>14</v>
      </c>
      <c r="F795" s="1" t="s">
        <v>15</v>
      </c>
      <c r="G795" s="1">
        <v>285231007488.22</v>
      </c>
    </row>
    <row ht="13.8" outlineLevel="0" r="796">
      <c r="A796" s="1" t="s">
        <v>29</v>
      </c>
      <c r="B796" s="1" t="s">
        <v>30</v>
      </c>
      <c r="C796" s="1" t="s">
        <v>31</v>
      </c>
      <c r="D796" s="3">
        <v>43800</v>
      </c>
      <c r="E796" s="1" t="s">
        <v>20</v>
      </c>
      <c r="F796" s="1" t="s">
        <v>21</v>
      </c>
      <c r="G796" s="1">
        <v>136390469.72</v>
      </c>
    </row>
    <row ht="13.8" outlineLevel="0" r="797">
      <c r="A797" s="1" t="s">
        <v>29</v>
      </c>
      <c r="B797" s="1" t="s">
        <v>30</v>
      </c>
      <c r="C797" s="1" t="s">
        <v>31</v>
      </c>
      <c r="D797" s="3">
        <v>43800</v>
      </c>
      <c r="E797" s="1" t="s">
        <v>16</v>
      </c>
      <c r="F797" s="1" t="s">
        <v>17</v>
      </c>
      <c r="G797" s="1">
        <v>285094617018.5</v>
      </c>
    </row>
    <row ht="13.8" outlineLevel="0" r="798">
      <c r="A798" s="1" t="s">
        <v>29</v>
      </c>
      <c r="B798" s="1" t="s">
        <v>30</v>
      </c>
      <c r="C798" s="1" t="s">
        <v>31</v>
      </c>
      <c r="D798" s="3">
        <v>43800</v>
      </c>
      <c r="E798" s="1" t="s">
        <v>10</v>
      </c>
      <c r="F798" s="1" t="s">
        <v>11</v>
      </c>
      <c r="G798" s="1">
        <v>399648667332</v>
      </c>
    </row>
    <row ht="13.8" outlineLevel="0" r="799">
      <c r="A799" s="1" t="s">
        <v>29</v>
      </c>
      <c r="B799" s="1" t="s">
        <v>30</v>
      </c>
      <c r="C799" s="1" t="s">
        <v>31</v>
      </c>
      <c r="D799" s="3">
        <v>43770</v>
      </c>
      <c r="E799" s="1" t="s">
        <v>10</v>
      </c>
      <c r="F799" s="1" t="s">
        <v>11</v>
      </c>
      <c r="G799" s="1">
        <v>399702729761</v>
      </c>
    </row>
    <row ht="13.8" outlineLevel="0" r="800">
      <c r="A800" s="1" t="s">
        <v>29</v>
      </c>
      <c r="B800" s="1" t="s">
        <v>30</v>
      </c>
      <c r="C800" s="1" t="s">
        <v>31</v>
      </c>
      <c r="D800" s="3">
        <v>43770</v>
      </c>
      <c r="E800" s="1" t="s">
        <v>16</v>
      </c>
      <c r="F800" s="1" t="s">
        <v>17</v>
      </c>
      <c r="G800" s="1">
        <v>282409429223.15</v>
      </c>
    </row>
    <row ht="13.8" outlineLevel="0" r="801">
      <c r="A801" s="1" t="s">
        <v>29</v>
      </c>
      <c r="B801" s="1" t="s">
        <v>30</v>
      </c>
      <c r="C801" s="1" t="s">
        <v>31</v>
      </c>
      <c r="D801" s="3">
        <v>43770</v>
      </c>
      <c r="E801" s="1" t="s">
        <v>14</v>
      </c>
      <c r="F801" s="1" t="s">
        <v>15</v>
      </c>
      <c r="G801" s="1">
        <v>286071104700.67</v>
      </c>
    </row>
    <row ht="13.8" outlineLevel="0" r="802">
      <c r="A802" s="1" t="s">
        <v>29</v>
      </c>
      <c r="B802" s="1" t="s">
        <v>30</v>
      </c>
      <c r="C802" s="1" t="s">
        <v>31</v>
      </c>
      <c r="D802" s="3">
        <v>43770</v>
      </c>
      <c r="E802" s="1" t="s">
        <v>18</v>
      </c>
      <c r="F802" s="1" t="s">
        <v>19</v>
      </c>
      <c r="G802" s="1">
        <v>282409429223.15</v>
      </c>
    </row>
    <row ht="13.8" outlineLevel="0" r="803">
      <c r="A803" s="1" t="s">
        <v>29</v>
      </c>
      <c r="B803" s="1" t="s">
        <v>30</v>
      </c>
      <c r="C803" s="1" t="s">
        <v>31</v>
      </c>
      <c r="D803" s="3">
        <v>43739</v>
      </c>
      <c r="E803" s="1" t="s">
        <v>10</v>
      </c>
      <c r="F803" s="1" t="s">
        <v>11</v>
      </c>
      <c r="G803" s="1">
        <v>399701449444</v>
      </c>
    </row>
    <row ht="13.8" outlineLevel="0" r="804">
      <c r="A804" s="1" t="s">
        <v>29</v>
      </c>
      <c r="B804" s="1" t="s">
        <v>30</v>
      </c>
      <c r="C804" s="1" t="s">
        <v>31</v>
      </c>
      <c r="D804" s="3">
        <v>43739</v>
      </c>
      <c r="E804" s="1" t="s">
        <v>16</v>
      </c>
      <c r="F804" s="1" t="s">
        <v>17</v>
      </c>
      <c r="G804" s="1">
        <v>263333197096.57</v>
      </c>
    </row>
    <row ht="13.8" outlineLevel="0" r="805">
      <c r="A805" s="1" t="s">
        <v>29</v>
      </c>
      <c r="B805" s="1" t="s">
        <v>30</v>
      </c>
      <c r="C805" s="1" t="s">
        <v>31</v>
      </c>
      <c r="D805" s="3">
        <v>43739</v>
      </c>
      <c r="E805" s="1" t="s">
        <v>14</v>
      </c>
      <c r="F805" s="1" t="s">
        <v>15</v>
      </c>
      <c r="G805" s="1">
        <v>267308736026.67</v>
      </c>
    </row>
    <row ht="13.8" outlineLevel="0" r="806">
      <c r="A806" s="1" t="s">
        <v>29</v>
      </c>
      <c r="B806" s="1" t="s">
        <v>30</v>
      </c>
      <c r="C806" s="1" t="s">
        <v>31</v>
      </c>
      <c r="D806" s="3">
        <v>43739</v>
      </c>
      <c r="E806" s="1" t="s">
        <v>18</v>
      </c>
      <c r="F806" s="1" t="s">
        <v>19</v>
      </c>
      <c r="G806" s="1">
        <v>263333197096.57</v>
      </c>
    </row>
    <row ht="13.8" outlineLevel="0" r="807">
      <c r="A807" s="1" t="s">
        <v>29</v>
      </c>
      <c r="B807" s="1" t="s">
        <v>30</v>
      </c>
      <c r="C807" s="1" t="s">
        <v>31</v>
      </c>
      <c r="D807" s="3">
        <v>43709</v>
      </c>
      <c r="E807" s="1" t="s">
        <v>16</v>
      </c>
      <c r="F807" s="1" t="s">
        <v>17</v>
      </c>
      <c r="G807" s="1">
        <v>255481194864.26</v>
      </c>
    </row>
    <row ht="13.8" outlineLevel="0" r="808">
      <c r="A808" s="1" t="s">
        <v>29</v>
      </c>
      <c r="B808" s="1" t="s">
        <v>30</v>
      </c>
      <c r="C808" s="1" t="s">
        <v>31</v>
      </c>
      <c r="D808" s="3">
        <v>43709</v>
      </c>
      <c r="E808" s="1" t="s">
        <v>18</v>
      </c>
      <c r="F808" s="1" t="s">
        <v>19</v>
      </c>
      <c r="G808" s="1">
        <v>255481194864.26</v>
      </c>
    </row>
    <row ht="13.8" outlineLevel="0" r="809">
      <c r="A809" s="1" t="s">
        <v>29</v>
      </c>
      <c r="B809" s="1" t="s">
        <v>30</v>
      </c>
      <c r="C809" s="1" t="s">
        <v>31</v>
      </c>
      <c r="D809" s="3">
        <v>43709</v>
      </c>
      <c r="E809" s="1" t="s">
        <v>14</v>
      </c>
      <c r="F809" s="1" t="s">
        <v>15</v>
      </c>
      <c r="G809" s="1">
        <v>260319975626.14</v>
      </c>
    </row>
    <row ht="13.8" outlineLevel="0" r="810">
      <c r="A810" s="1" t="s">
        <v>29</v>
      </c>
      <c r="B810" s="1" t="s">
        <v>30</v>
      </c>
      <c r="C810" s="1" t="s">
        <v>31</v>
      </c>
      <c r="D810" s="3">
        <v>43709</v>
      </c>
      <c r="E810" s="1" t="s">
        <v>10</v>
      </c>
      <c r="F810" s="1" t="s">
        <v>11</v>
      </c>
      <c r="G810" s="1">
        <v>378701449444</v>
      </c>
    </row>
    <row ht="13.8" outlineLevel="0" r="811">
      <c r="A811" s="1" t="s">
        <v>29</v>
      </c>
      <c r="B811" s="1" t="s">
        <v>30</v>
      </c>
      <c r="C811" s="1" t="s">
        <v>31</v>
      </c>
      <c r="D811" s="3">
        <v>43678</v>
      </c>
      <c r="E811" s="1" t="s">
        <v>14</v>
      </c>
      <c r="F811" s="1" t="s">
        <v>15</v>
      </c>
      <c r="G811" s="1">
        <v>259297043248.09</v>
      </c>
    </row>
    <row ht="13.8" outlineLevel="0" r="812">
      <c r="A812" s="1" t="s">
        <v>29</v>
      </c>
      <c r="B812" s="1" t="s">
        <v>30</v>
      </c>
      <c r="C812" s="1" t="s">
        <v>31</v>
      </c>
      <c r="D812" s="3">
        <v>43678</v>
      </c>
      <c r="E812" s="1" t="s">
        <v>10</v>
      </c>
      <c r="F812" s="1" t="s">
        <v>11</v>
      </c>
      <c r="G812" s="1">
        <v>378701749444</v>
      </c>
    </row>
    <row ht="13.8" outlineLevel="0" r="813">
      <c r="A813" s="1" t="s">
        <v>29</v>
      </c>
      <c r="B813" s="1" t="s">
        <v>30</v>
      </c>
      <c r="C813" s="1" t="s">
        <v>31</v>
      </c>
      <c r="D813" s="3">
        <v>43678</v>
      </c>
      <c r="E813" s="1" t="s">
        <v>16</v>
      </c>
      <c r="F813" s="1" t="s">
        <v>17</v>
      </c>
      <c r="G813" s="1">
        <v>254001980075.63</v>
      </c>
    </row>
    <row ht="13.8" outlineLevel="0" r="814">
      <c r="A814" s="1" t="s">
        <v>29</v>
      </c>
      <c r="B814" s="1" t="s">
        <v>30</v>
      </c>
      <c r="C814" s="1" t="s">
        <v>31</v>
      </c>
      <c r="D814" s="3">
        <v>43678</v>
      </c>
      <c r="E814" s="1" t="s">
        <v>18</v>
      </c>
      <c r="F814" s="1" t="s">
        <v>19</v>
      </c>
      <c r="G814" s="1">
        <v>254001980075.63</v>
      </c>
    </row>
    <row ht="13.8" outlineLevel="0" r="815">
      <c r="A815" s="1" t="s">
        <v>29</v>
      </c>
      <c r="B815" s="1" t="s">
        <v>30</v>
      </c>
      <c r="C815" s="1" t="s">
        <v>31</v>
      </c>
      <c r="D815" s="3">
        <v>43647</v>
      </c>
      <c r="E815" s="1" t="s">
        <v>18</v>
      </c>
      <c r="F815" s="1" t="s">
        <v>19</v>
      </c>
      <c r="G815" s="1">
        <v>227197512738.7</v>
      </c>
    </row>
    <row ht="13.8" outlineLevel="0" r="816">
      <c r="A816" s="1" t="s">
        <v>29</v>
      </c>
      <c r="B816" s="1" t="s">
        <v>30</v>
      </c>
      <c r="C816" s="1" t="s">
        <v>31</v>
      </c>
      <c r="D816" s="3">
        <v>43647</v>
      </c>
      <c r="E816" s="1" t="s">
        <v>10</v>
      </c>
      <c r="F816" s="1" t="s">
        <v>11</v>
      </c>
      <c r="G816" s="1">
        <v>378701749444</v>
      </c>
    </row>
    <row ht="13.8" outlineLevel="0" r="817">
      <c r="A817" s="1" t="s">
        <v>29</v>
      </c>
      <c r="B817" s="1" t="s">
        <v>30</v>
      </c>
      <c r="C817" s="1" t="s">
        <v>31</v>
      </c>
      <c r="D817" s="3">
        <v>43647</v>
      </c>
      <c r="E817" s="1" t="s">
        <v>14</v>
      </c>
      <c r="F817" s="1" t="s">
        <v>15</v>
      </c>
      <c r="G817" s="1">
        <v>230768010524.18</v>
      </c>
    </row>
    <row ht="13.8" outlineLevel="0" r="818">
      <c r="A818" s="1" t="s">
        <v>29</v>
      </c>
      <c r="B818" s="1" t="s">
        <v>30</v>
      </c>
      <c r="C818" s="1" t="s">
        <v>31</v>
      </c>
      <c r="D818" s="3">
        <v>43647</v>
      </c>
      <c r="E818" s="1" t="s">
        <v>16</v>
      </c>
      <c r="F818" s="1" t="s">
        <v>17</v>
      </c>
      <c r="G818" s="1">
        <v>227197512738.7</v>
      </c>
    </row>
    <row ht="13.8" outlineLevel="0" r="819">
      <c r="A819" s="1" t="s">
        <v>29</v>
      </c>
      <c r="B819" s="1" t="s">
        <v>30</v>
      </c>
      <c r="C819" s="1" t="s">
        <v>31</v>
      </c>
      <c r="D819" s="3">
        <v>43617</v>
      </c>
      <c r="E819" s="1" t="s">
        <v>18</v>
      </c>
      <c r="F819" s="1" t="s">
        <v>19</v>
      </c>
      <c r="G819" s="1">
        <v>152795210034.53</v>
      </c>
    </row>
    <row ht="13.8" outlineLevel="0" r="820">
      <c r="A820" s="1" t="s">
        <v>29</v>
      </c>
      <c r="B820" s="1" t="s">
        <v>30</v>
      </c>
      <c r="C820" s="1" t="s">
        <v>31</v>
      </c>
      <c r="D820" s="3">
        <v>43617</v>
      </c>
      <c r="E820" s="1" t="s">
        <v>10</v>
      </c>
      <c r="F820" s="1" t="s">
        <v>11</v>
      </c>
      <c r="G820" s="1">
        <v>378701749444</v>
      </c>
    </row>
    <row ht="13.8" outlineLevel="0" r="821">
      <c r="A821" s="1" t="s">
        <v>29</v>
      </c>
      <c r="B821" s="1" t="s">
        <v>30</v>
      </c>
      <c r="C821" s="1" t="s">
        <v>31</v>
      </c>
      <c r="D821" s="3">
        <v>43617</v>
      </c>
      <c r="E821" s="1" t="s">
        <v>14</v>
      </c>
      <c r="F821" s="1" t="s">
        <v>15</v>
      </c>
      <c r="G821" s="1">
        <v>159601058801.72</v>
      </c>
    </row>
    <row ht="13.8" outlineLevel="0" r="822">
      <c r="A822" s="1" t="s">
        <v>29</v>
      </c>
      <c r="B822" s="1" t="s">
        <v>30</v>
      </c>
      <c r="C822" s="1" t="s">
        <v>31</v>
      </c>
      <c r="D822" s="3">
        <v>43617</v>
      </c>
      <c r="E822" s="1" t="s">
        <v>16</v>
      </c>
      <c r="F822" s="1" t="s">
        <v>17</v>
      </c>
      <c r="G822" s="1">
        <v>152795210034.53</v>
      </c>
    </row>
    <row ht="13.8" outlineLevel="0" r="823">
      <c r="A823" s="1" t="s">
        <v>29</v>
      </c>
      <c r="B823" s="1" t="s">
        <v>30</v>
      </c>
      <c r="C823" s="1" t="s">
        <v>31</v>
      </c>
      <c r="D823" s="3">
        <v>43586</v>
      </c>
      <c r="E823" s="1" t="s">
        <v>10</v>
      </c>
      <c r="F823" s="1" t="s">
        <v>11</v>
      </c>
      <c r="G823" s="1">
        <v>378996007187</v>
      </c>
    </row>
    <row ht="13.8" outlineLevel="0" r="824">
      <c r="A824" s="1" t="s">
        <v>29</v>
      </c>
      <c r="B824" s="1" t="s">
        <v>30</v>
      </c>
      <c r="C824" s="1" t="s">
        <v>31</v>
      </c>
      <c r="D824" s="3">
        <v>43586</v>
      </c>
      <c r="E824" s="1" t="s">
        <v>14</v>
      </c>
      <c r="F824" s="1" t="s">
        <v>15</v>
      </c>
      <c r="G824" s="1">
        <v>158761511845.02</v>
      </c>
    </row>
    <row ht="13.8" outlineLevel="0" r="825">
      <c r="A825" s="1" t="s">
        <v>29</v>
      </c>
      <c r="B825" s="1" t="s">
        <v>30</v>
      </c>
      <c r="C825" s="1" t="s">
        <v>31</v>
      </c>
      <c r="D825" s="3">
        <v>43586</v>
      </c>
      <c r="E825" s="1" t="s">
        <v>16</v>
      </c>
      <c r="F825" s="1" t="s">
        <v>17</v>
      </c>
      <c r="G825" s="1">
        <v>151165197546.18</v>
      </c>
    </row>
    <row ht="13.8" outlineLevel="0" r="826">
      <c r="A826" s="1" t="s">
        <v>29</v>
      </c>
      <c r="B826" s="1" t="s">
        <v>30</v>
      </c>
      <c r="C826" s="1" t="s">
        <v>31</v>
      </c>
      <c r="D826" s="3">
        <v>43586</v>
      </c>
      <c r="E826" s="1" t="s">
        <v>18</v>
      </c>
      <c r="F826" s="1" t="s">
        <v>19</v>
      </c>
      <c r="G826" s="1">
        <v>151165197546.18</v>
      </c>
    </row>
    <row ht="13.8" outlineLevel="0" r="827">
      <c r="A827" s="1" t="s">
        <v>29</v>
      </c>
      <c r="B827" s="1" t="s">
        <v>30</v>
      </c>
      <c r="C827" s="1" t="s">
        <v>31</v>
      </c>
      <c r="D827" s="3">
        <v>43556</v>
      </c>
      <c r="E827" s="1" t="s">
        <v>18</v>
      </c>
      <c r="F827" s="1" t="s">
        <v>19</v>
      </c>
      <c r="G827" s="1">
        <v>130651520201.33</v>
      </c>
    </row>
    <row ht="13.8" outlineLevel="0" r="828">
      <c r="A828" s="1" t="s">
        <v>29</v>
      </c>
      <c r="B828" s="1" t="s">
        <v>30</v>
      </c>
      <c r="C828" s="1" t="s">
        <v>31</v>
      </c>
      <c r="D828" s="3">
        <v>43556</v>
      </c>
      <c r="E828" s="1" t="s">
        <v>16</v>
      </c>
      <c r="F828" s="1" t="s">
        <v>17</v>
      </c>
      <c r="G828" s="1">
        <v>130651520201.33</v>
      </c>
    </row>
    <row ht="13.8" outlineLevel="0" r="829">
      <c r="A829" s="1" t="s">
        <v>29</v>
      </c>
      <c r="B829" s="1" t="s">
        <v>30</v>
      </c>
      <c r="C829" s="1" t="s">
        <v>31</v>
      </c>
      <c r="D829" s="3">
        <v>43556</v>
      </c>
      <c r="E829" s="1" t="s">
        <v>14</v>
      </c>
      <c r="F829" s="1" t="s">
        <v>15</v>
      </c>
      <c r="G829" s="1">
        <v>135077040451.91</v>
      </c>
    </row>
    <row ht="13.8" outlineLevel="0" r="830">
      <c r="A830" s="1" t="s">
        <v>29</v>
      </c>
      <c r="B830" s="1" t="s">
        <v>30</v>
      </c>
      <c r="C830" s="1" t="s">
        <v>31</v>
      </c>
      <c r="D830" s="3">
        <v>43556</v>
      </c>
      <c r="E830" s="1" t="s">
        <v>10</v>
      </c>
      <c r="F830" s="1" t="s">
        <v>11</v>
      </c>
      <c r="G830" s="1">
        <v>378996007187</v>
      </c>
    </row>
    <row ht="13.8" outlineLevel="0" r="831">
      <c r="A831" s="1" t="s">
        <v>29</v>
      </c>
      <c r="B831" s="1" t="s">
        <v>30</v>
      </c>
      <c r="C831" s="1" t="s">
        <v>31</v>
      </c>
      <c r="D831" s="3">
        <v>43525</v>
      </c>
      <c r="E831" s="1" t="s">
        <v>10</v>
      </c>
      <c r="F831" s="1" t="s">
        <v>11</v>
      </c>
      <c r="G831" s="1">
        <v>378896007187</v>
      </c>
    </row>
    <row ht="13.8" outlineLevel="0" r="832">
      <c r="A832" s="1" t="s">
        <v>29</v>
      </c>
      <c r="B832" s="1" t="s">
        <v>30</v>
      </c>
      <c r="C832" s="1" t="s">
        <v>31</v>
      </c>
      <c r="D832" s="3">
        <v>43525</v>
      </c>
      <c r="E832" s="1" t="s">
        <v>18</v>
      </c>
      <c r="F832" s="1" t="s">
        <v>19</v>
      </c>
      <c r="G832" s="1">
        <v>117252511578.38</v>
      </c>
    </row>
    <row ht="13.8" outlineLevel="0" r="833">
      <c r="A833" s="1" t="s">
        <v>29</v>
      </c>
      <c r="B833" s="1" t="s">
        <v>30</v>
      </c>
      <c r="C833" s="1" t="s">
        <v>31</v>
      </c>
      <c r="D833" s="3">
        <v>43525</v>
      </c>
      <c r="E833" s="1" t="s">
        <v>16</v>
      </c>
      <c r="F833" s="1" t="s">
        <v>17</v>
      </c>
      <c r="G833" s="1">
        <v>117252511578.38</v>
      </c>
    </row>
    <row ht="13.8" outlineLevel="0" r="834">
      <c r="A834" s="1" t="s">
        <v>29</v>
      </c>
      <c r="B834" s="1" t="s">
        <v>30</v>
      </c>
      <c r="C834" s="1" t="s">
        <v>31</v>
      </c>
      <c r="D834" s="3">
        <v>43525</v>
      </c>
      <c r="E834" s="1" t="s">
        <v>14</v>
      </c>
      <c r="F834" s="1" t="s">
        <v>15</v>
      </c>
      <c r="G834" s="1">
        <v>124109219013.82</v>
      </c>
    </row>
    <row ht="13.8" outlineLevel="0" r="835">
      <c r="A835" s="1" t="s">
        <v>29</v>
      </c>
      <c r="B835" s="1" t="s">
        <v>30</v>
      </c>
      <c r="C835" s="1" t="s">
        <v>31</v>
      </c>
      <c r="D835" s="3">
        <v>43497</v>
      </c>
      <c r="E835" s="1" t="s">
        <v>18</v>
      </c>
      <c r="F835" s="1" t="s">
        <v>19</v>
      </c>
      <c r="G835" s="1">
        <v>95717306545.96</v>
      </c>
    </row>
    <row ht="13.8" outlineLevel="0" r="836">
      <c r="A836" s="1" t="s">
        <v>29</v>
      </c>
      <c r="B836" s="1" t="s">
        <v>30</v>
      </c>
      <c r="C836" s="1" t="s">
        <v>31</v>
      </c>
      <c r="D836" s="3">
        <v>43497</v>
      </c>
      <c r="E836" s="1" t="s">
        <v>10</v>
      </c>
      <c r="F836" s="1" t="s">
        <v>11</v>
      </c>
      <c r="G836" s="1">
        <v>378896007187</v>
      </c>
    </row>
    <row ht="13.8" outlineLevel="0" r="837">
      <c r="A837" s="1" t="s">
        <v>29</v>
      </c>
      <c r="B837" s="1" t="s">
        <v>30</v>
      </c>
      <c r="C837" s="1" t="s">
        <v>31</v>
      </c>
      <c r="D837" s="3">
        <v>43497</v>
      </c>
      <c r="E837" s="1" t="s">
        <v>14</v>
      </c>
      <c r="F837" s="1" t="s">
        <v>15</v>
      </c>
      <c r="G837" s="1">
        <v>102847589580.15</v>
      </c>
    </row>
    <row ht="13.8" outlineLevel="0" r="838">
      <c r="A838" s="1" t="s">
        <v>29</v>
      </c>
      <c r="B838" s="1" t="s">
        <v>30</v>
      </c>
      <c r="C838" s="1" t="s">
        <v>31</v>
      </c>
      <c r="D838" s="3">
        <v>43497</v>
      </c>
      <c r="E838" s="1" t="s">
        <v>16</v>
      </c>
      <c r="F838" s="1" t="s">
        <v>17</v>
      </c>
      <c r="G838" s="1">
        <v>95717306545.96</v>
      </c>
    </row>
    <row ht="13.8" outlineLevel="0" r="839">
      <c r="A839" s="1" t="s">
        <v>29</v>
      </c>
      <c r="B839" s="1" t="s">
        <v>30</v>
      </c>
      <c r="C839" s="1" t="s">
        <v>31</v>
      </c>
      <c r="D839" s="3">
        <v>43466</v>
      </c>
      <c r="E839" s="1" t="s">
        <v>18</v>
      </c>
      <c r="F839" s="1" t="s">
        <v>19</v>
      </c>
      <c r="G839" s="1">
        <v>71708282881.53</v>
      </c>
    </row>
    <row ht="13.8" outlineLevel="0" r="840">
      <c r="A840" s="1" t="s">
        <v>29</v>
      </c>
      <c r="B840" s="1" t="s">
        <v>30</v>
      </c>
      <c r="C840" s="1" t="s">
        <v>31</v>
      </c>
      <c r="D840" s="3">
        <v>43466</v>
      </c>
      <c r="E840" s="1" t="s">
        <v>16</v>
      </c>
      <c r="F840" s="1" t="s">
        <v>17</v>
      </c>
      <c r="G840" s="1">
        <v>71708282881.53</v>
      </c>
    </row>
    <row ht="13.8" outlineLevel="0" r="841">
      <c r="A841" s="1" t="s">
        <v>29</v>
      </c>
      <c r="B841" s="1" t="s">
        <v>30</v>
      </c>
      <c r="C841" s="1" t="s">
        <v>31</v>
      </c>
      <c r="D841" s="3">
        <v>43466</v>
      </c>
      <c r="E841" s="1" t="s">
        <v>14</v>
      </c>
      <c r="F841" s="1" t="s">
        <v>15</v>
      </c>
      <c r="G841" s="1">
        <v>82258413260.25</v>
      </c>
    </row>
    <row ht="13.8" outlineLevel="0" r="842">
      <c r="A842" s="1" t="s">
        <v>29</v>
      </c>
      <c r="B842" s="1" t="s">
        <v>30</v>
      </c>
      <c r="C842" s="1" t="s">
        <v>31</v>
      </c>
      <c r="D842" s="3">
        <v>43466</v>
      </c>
      <c r="E842" s="1" t="s">
        <v>10</v>
      </c>
      <c r="F842" s="1" t="s">
        <v>11</v>
      </c>
      <c r="G842" s="1">
        <v>378896007187</v>
      </c>
    </row>
    <row ht="13.8" outlineLevel="0" r="843">
      <c r="A843" s="1" t="s">
        <v>32</v>
      </c>
      <c r="B843" s="1" t="s">
        <v>33</v>
      </c>
      <c r="C843" s="1" t="s">
        <v>34</v>
      </c>
      <c r="D843" s="3">
        <v>44197</v>
      </c>
      <c r="E843" s="1" t="s">
        <v>10</v>
      </c>
      <c r="F843" s="1" t="s">
        <v>11</v>
      </c>
      <c r="G843" s="1">
        <v>11755594466</v>
      </c>
    </row>
    <row ht="13.8" outlineLevel="0" r="844">
      <c r="A844" s="1" t="s">
        <v>32</v>
      </c>
      <c r="B844" s="1" t="s">
        <v>33</v>
      </c>
      <c r="C844" s="1" t="s">
        <v>34</v>
      </c>
      <c r="D844" s="3">
        <v>44197</v>
      </c>
      <c r="E844" s="1" t="s">
        <v>18</v>
      </c>
      <c r="F844" s="1" t="s">
        <v>19</v>
      </c>
      <c r="G844" s="1">
        <v>68534.5</v>
      </c>
    </row>
    <row ht="13.8" outlineLevel="0" r="845">
      <c r="A845" s="1" t="s">
        <v>32</v>
      </c>
      <c r="B845" s="1" t="s">
        <v>33</v>
      </c>
      <c r="C845" s="1" t="s">
        <v>34</v>
      </c>
      <c r="D845" s="3">
        <v>44197</v>
      </c>
      <c r="E845" s="1" t="s">
        <v>16</v>
      </c>
      <c r="F845" s="1" t="s">
        <v>17</v>
      </c>
      <c r="G845" s="1">
        <v>18097384.16</v>
      </c>
    </row>
    <row ht="13.8" outlineLevel="0" r="846">
      <c r="A846" s="1" t="s">
        <v>32</v>
      </c>
      <c r="B846" s="1" t="s">
        <v>33</v>
      </c>
      <c r="C846" s="1" t="s">
        <v>34</v>
      </c>
      <c r="D846" s="3">
        <v>44197</v>
      </c>
      <c r="E846" s="1" t="s">
        <v>14</v>
      </c>
      <c r="F846" s="1" t="s">
        <v>15</v>
      </c>
      <c r="G846" s="1">
        <v>237013027.2405</v>
      </c>
    </row>
    <row ht="13.8" outlineLevel="0" r="847">
      <c r="A847" s="1" t="s">
        <v>32</v>
      </c>
      <c r="B847" s="1" t="s">
        <v>33</v>
      </c>
      <c r="C847" s="1" t="s">
        <v>34</v>
      </c>
      <c r="D847" s="3">
        <v>44166</v>
      </c>
      <c r="E847" s="1" t="s">
        <v>18</v>
      </c>
      <c r="F847" s="1" t="s">
        <v>19</v>
      </c>
      <c r="G847" s="1">
        <v>20966048833.2782</v>
      </c>
    </row>
    <row ht="13.8" outlineLevel="0" r="848">
      <c r="A848" s="1" t="s">
        <v>32</v>
      </c>
      <c r="B848" s="1" t="s">
        <v>33</v>
      </c>
      <c r="C848" s="1" t="s">
        <v>34</v>
      </c>
      <c r="D848" s="3">
        <v>44166</v>
      </c>
      <c r="E848" s="1" t="s">
        <v>20</v>
      </c>
      <c r="F848" s="1" t="s">
        <v>21</v>
      </c>
      <c r="G848" s="1">
        <v>25848106058.8096</v>
      </c>
    </row>
    <row ht="13.8" outlineLevel="0" r="849">
      <c r="A849" s="1" t="s">
        <v>32</v>
      </c>
      <c r="B849" s="1" t="s">
        <v>33</v>
      </c>
      <c r="C849" s="1" t="s">
        <v>34</v>
      </c>
      <c r="D849" s="3">
        <v>44166</v>
      </c>
      <c r="E849" s="1" t="s">
        <v>10</v>
      </c>
      <c r="F849" s="1" t="s">
        <v>11</v>
      </c>
      <c r="G849" s="1">
        <v>48686671056.99</v>
      </c>
    </row>
    <row ht="13.8" outlineLevel="0" r="850">
      <c r="A850" s="1" t="s">
        <v>32</v>
      </c>
      <c r="B850" s="1" t="s">
        <v>33</v>
      </c>
      <c r="C850" s="1" t="s">
        <v>34</v>
      </c>
      <c r="D850" s="3">
        <v>44166</v>
      </c>
      <c r="E850" s="1" t="s">
        <v>14</v>
      </c>
      <c r="F850" s="1" t="s">
        <v>15</v>
      </c>
      <c r="G850" s="1">
        <v>47216966466.7611</v>
      </c>
    </row>
    <row ht="13.8" outlineLevel="0" r="851">
      <c r="A851" s="1" t="s">
        <v>32</v>
      </c>
      <c r="B851" s="1" t="s">
        <v>33</v>
      </c>
      <c r="C851" s="1" t="s">
        <v>34</v>
      </c>
      <c r="D851" s="3">
        <v>44166</v>
      </c>
      <c r="E851" s="1" t="s">
        <v>16</v>
      </c>
      <c r="F851" s="1" t="s">
        <v>17</v>
      </c>
      <c r="G851" s="1">
        <v>21368860407.9515</v>
      </c>
    </row>
    <row ht="13.8" outlineLevel="0" r="852">
      <c r="A852" s="1" t="s">
        <v>32</v>
      </c>
      <c r="B852" s="1" t="s">
        <v>33</v>
      </c>
      <c r="C852" s="1" t="s">
        <v>34</v>
      </c>
      <c r="D852" s="3">
        <v>44136</v>
      </c>
      <c r="E852" s="1" t="s">
        <v>14</v>
      </c>
      <c r="F852" s="1" t="s">
        <v>15</v>
      </c>
      <c r="G852" s="1">
        <v>30221070505.4123</v>
      </c>
    </row>
    <row ht="13.8" outlineLevel="0" r="853">
      <c r="A853" s="1" t="s">
        <v>32</v>
      </c>
      <c r="B853" s="1" t="s">
        <v>33</v>
      </c>
      <c r="C853" s="1" t="s">
        <v>34</v>
      </c>
      <c r="D853" s="3">
        <v>44136</v>
      </c>
      <c r="E853" s="1" t="s">
        <v>16</v>
      </c>
      <c r="F853" s="1" t="s">
        <v>17</v>
      </c>
      <c r="G853" s="1">
        <v>14207051204.6902</v>
      </c>
    </row>
    <row ht="13.8" outlineLevel="0" r="854">
      <c r="A854" s="1" t="s">
        <v>32</v>
      </c>
      <c r="B854" s="1" t="s">
        <v>33</v>
      </c>
      <c r="C854" s="1" t="s">
        <v>34</v>
      </c>
      <c r="D854" s="3">
        <v>44136</v>
      </c>
      <c r="E854" s="1" t="s">
        <v>18</v>
      </c>
      <c r="F854" s="1" t="s">
        <v>19</v>
      </c>
      <c r="G854" s="1">
        <v>13918656058.3526</v>
      </c>
    </row>
    <row ht="13.8" outlineLevel="0" r="855">
      <c r="A855" s="1" t="s">
        <v>32</v>
      </c>
      <c r="B855" s="1" t="s">
        <v>33</v>
      </c>
      <c r="C855" s="1" t="s">
        <v>34</v>
      </c>
      <c r="D855" s="3">
        <v>44136</v>
      </c>
      <c r="E855" s="1" t="s">
        <v>10</v>
      </c>
      <c r="F855" s="1" t="s">
        <v>11</v>
      </c>
      <c r="G855" s="1">
        <v>46284602902.99</v>
      </c>
    </row>
    <row ht="13.8" outlineLevel="0" r="856">
      <c r="A856" s="1" t="s">
        <v>32</v>
      </c>
      <c r="B856" s="1" t="s">
        <v>33</v>
      </c>
      <c r="C856" s="1" t="s">
        <v>34</v>
      </c>
      <c r="D856" s="3">
        <v>44105</v>
      </c>
      <c r="E856" s="1" t="s">
        <v>10</v>
      </c>
      <c r="F856" s="1" t="s">
        <v>11</v>
      </c>
      <c r="G856" s="1">
        <v>44514135096.99</v>
      </c>
    </row>
    <row ht="13.8" outlineLevel="0" r="857">
      <c r="A857" s="1" t="s">
        <v>32</v>
      </c>
      <c r="B857" s="1" t="s">
        <v>33</v>
      </c>
      <c r="C857" s="1" t="s">
        <v>34</v>
      </c>
      <c r="D857" s="3">
        <v>44105</v>
      </c>
      <c r="E857" s="1" t="s">
        <v>14</v>
      </c>
      <c r="F857" s="1" t="s">
        <v>15</v>
      </c>
      <c r="G857" s="1">
        <v>26731987578.1076</v>
      </c>
    </row>
    <row ht="13.8" outlineLevel="0" r="858">
      <c r="A858" s="1" t="s">
        <v>32</v>
      </c>
      <c r="B858" s="1" t="s">
        <v>33</v>
      </c>
      <c r="C858" s="1" t="s">
        <v>34</v>
      </c>
      <c r="D858" s="3">
        <v>44105</v>
      </c>
      <c r="E858" s="1" t="s">
        <v>16</v>
      </c>
      <c r="F858" s="1" t="s">
        <v>17</v>
      </c>
      <c r="G858" s="1">
        <v>12463477183.0667</v>
      </c>
    </row>
    <row ht="13.8" outlineLevel="0" r="859">
      <c r="A859" s="1" t="s">
        <v>32</v>
      </c>
      <c r="B859" s="1" t="s">
        <v>33</v>
      </c>
      <c r="C859" s="1" t="s">
        <v>34</v>
      </c>
      <c r="D859" s="3">
        <v>44105</v>
      </c>
      <c r="E859" s="1" t="s">
        <v>18</v>
      </c>
      <c r="F859" s="1" t="s">
        <v>19</v>
      </c>
      <c r="G859" s="1">
        <v>12072169312.0996</v>
      </c>
    </row>
    <row ht="13.8" outlineLevel="0" r="860">
      <c r="A860" s="1" t="s">
        <v>32</v>
      </c>
      <c r="B860" s="1" t="s">
        <v>33</v>
      </c>
      <c r="C860" s="1" t="s">
        <v>34</v>
      </c>
      <c r="D860" s="3">
        <v>44075</v>
      </c>
      <c r="E860" s="1" t="s">
        <v>18</v>
      </c>
      <c r="F860" s="1" t="s">
        <v>19</v>
      </c>
      <c r="G860" s="1">
        <v>10475970908.4023</v>
      </c>
    </row>
    <row ht="13.8" outlineLevel="0" r="861">
      <c r="A861" s="1" t="s">
        <v>32</v>
      </c>
      <c r="B861" s="1" t="s">
        <v>33</v>
      </c>
      <c r="C861" s="1" t="s">
        <v>34</v>
      </c>
      <c r="D861" s="3">
        <v>44075</v>
      </c>
      <c r="E861" s="1" t="s">
        <v>16</v>
      </c>
      <c r="F861" s="1" t="s">
        <v>17</v>
      </c>
      <c r="G861" s="1">
        <v>10758628154.0123</v>
      </c>
    </row>
    <row ht="13.8" outlineLevel="0" r="862">
      <c r="A862" s="1" t="s">
        <v>32</v>
      </c>
      <c r="B862" s="1" t="s">
        <v>33</v>
      </c>
      <c r="C862" s="1" t="s">
        <v>34</v>
      </c>
      <c r="D862" s="3">
        <v>44075</v>
      </c>
      <c r="E862" s="1" t="s">
        <v>14</v>
      </c>
      <c r="F862" s="1" t="s">
        <v>15</v>
      </c>
      <c r="G862" s="1">
        <v>25617415527.1448</v>
      </c>
    </row>
    <row ht="13.8" outlineLevel="0" r="863">
      <c r="A863" s="1" t="s">
        <v>32</v>
      </c>
      <c r="B863" s="1" t="s">
        <v>33</v>
      </c>
      <c r="C863" s="1" t="s">
        <v>34</v>
      </c>
      <c r="D863" s="3">
        <v>44075</v>
      </c>
      <c r="E863" s="1" t="s">
        <v>10</v>
      </c>
      <c r="F863" s="1" t="s">
        <v>11</v>
      </c>
      <c r="G863" s="1">
        <v>43680428507</v>
      </c>
    </row>
    <row ht="13.8" outlineLevel="0" r="864">
      <c r="A864" s="1" t="s">
        <v>32</v>
      </c>
      <c r="B864" s="1" t="s">
        <v>33</v>
      </c>
      <c r="C864" s="1" t="s">
        <v>34</v>
      </c>
      <c r="D864" s="3">
        <v>44044</v>
      </c>
      <c r="E864" s="1" t="s">
        <v>18</v>
      </c>
      <c r="F864" s="1" t="s">
        <v>19</v>
      </c>
      <c r="G864" s="1">
        <v>8629093136.2176</v>
      </c>
    </row>
    <row ht="13.8" outlineLevel="0" r="865">
      <c r="A865" s="1" t="s">
        <v>32</v>
      </c>
      <c r="B865" s="1" t="s">
        <v>33</v>
      </c>
      <c r="C865" s="1" t="s">
        <v>34</v>
      </c>
      <c r="D865" s="3">
        <v>44044</v>
      </c>
      <c r="E865" s="1" t="s">
        <v>14</v>
      </c>
      <c r="F865" s="1" t="s">
        <v>15</v>
      </c>
      <c r="G865" s="1">
        <v>23890115210.8473</v>
      </c>
    </row>
    <row ht="13.8" outlineLevel="0" r="866">
      <c r="A866" s="1" t="s">
        <v>32</v>
      </c>
      <c r="B866" s="1" t="s">
        <v>33</v>
      </c>
      <c r="C866" s="1" t="s">
        <v>34</v>
      </c>
      <c r="D866" s="3">
        <v>44044</v>
      </c>
      <c r="E866" s="1" t="s">
        <v>16</v>
      </c>
      <c r="F866" s="1" t="s">
        <v>17</v>
      </c>
      <c r="G866" s="1">
        <v>9082777765.8476</v>
      </c>
    </row>
    <row ht="13.8" outlineLevel="0" r="867">
      <c r="A867" s="1" t="s">
        <v>32</v>
      </c>
      <c r="B867" s="1" t="s">
        <v>33</v>
      </c>
      <c r="C867" s="1" t="s">
        <v>34</v>
      </c>
      <c r="D867" s="3">
        <v>44044</v>
      </c>
      <c r="E867" s="1" t="s">
        <v>10</v>
      </c>
      <c r="F867" s="1" t="s">
        <v>11</v>
      </c>
      <c r="G867" s="1">
        <v>43000703159</v>
      </c>
    </row>
    <row ht="13.8" outlineLevel="0" r="868">
      <c r="A868" s="1" t="s">
        <v>32</v>
      </c>
      <c r="B868" s="1" t="s">
        <v>33</v>
      </c>
      <c r="C868" s="1" t="s">
        <v>34</v>
      </c>
      <c r="D868" s="3">
        <v>44013</v>
      </c>
      <c r="E868" s="1" t="s">
        <v>14</v>
      </c>
      <c r="F868" s="1" t="s">
        <v>15</v>
      </c>
      <c r="G868" s="1">
        <v>21109773081.1579</v>
      </c>
    </row>
    <row ht="13.8" outlineLevel="0" r="869">
      <c r="A869" s="1" t="s">
        <v>32</v>
      </c>
      <c r="B869" s="1" t="s">
        <v>33</v>
      </c>
      <c r="C869" s="1" t="s">
        <v>34</v>
      </c>
      <c r="D869" s="3">
        <v>44013</v>
      </c>
      <c r="E869" s="1" t="s">
        <v>18</v>
      </c>
      <c r="F869" s="1" t="s">
        <v>19</v>
      </c>
      <c r="G869" s="1">
        <v>6749449215.5604</v>
      </c>
    </row>
    <row ht="13.8" outlineLevel="0" r="870">
      <c r="A870" s="1" t="s">
        <v>32</v>
      </c>
      <c r="B870" s="1" t="s">
        <v>33</v>
      </c>
      <c r="C870" s="1" t="s">
        <v>34</v>
      </c>
      <c r="D870" s="3">
        <v>44013</v>
      </c>
      <c r="E870" s="1" t="s">
        <v>16</v>
      </c>
      <c r="F870" s="1" t="s">
        <v>17</v>
      </c>
      <c r="G870" s="1">
        <v>7081151983.2869</v>
      </c>
    </row>
    <row ht="13.8" outlineLevel="0" r="871">
      <c r="A871" s="1" t="s">
        <v>32</v>
      </c>
      <c r="B871" s="1" t="s">
        <v>33</v>
      </c>
      <c r="C871" s="1" t="s">
        <v>34</v>
      </c>
      <c r="D871" s="3">
        <v>44013</v>
      </c>
      <c r="E871" s="1" t="s">
        <v>10</v>
      </c>
      <c r="F871" s="1" t="s">
        <v>11</v>
      </c>
      <c r="G871" s="1">
        <v>42511286850</v>
      </c>
    </row>
    <row ht="13.8" outlineLevel="0" r="872">
      <c r="A872" s="1" t="s">
        <v>32</v>
      </c>
      <c r="B872" s="1" t="s">
        <v>33</v>
      </c>
      <c r="C872" s="1" t="s">
        <v>34</v>
      </c>
      <c r="D872" s="3">
        <v>43983</v>
      </c>
      <c r="E872" s="1" t="s">
        <v>16</v>
      </c>
      <c r="F872" s="1" t="s">
        <v>17</v>
      </c>
      <c r="G872" s="1">
        <v>5467775916.5403</v>
      </c>
    </row>
    <row ht="13.8" outlineLevel="0" r="873">
      <c r="A873" s="1" t="s">
        <v>32</v>
      </c>
      <c r="B873" s="1" t="s">
        <v>33</v>
      </c>
      <c r="C873" s="1" t="s">
        <v>34</v>
      </c>
      <c r="D873" s="3">
        <v>43983</v>
      </c>
      <c r="E873" s="1" t="s">
        <v>14</v>
      </c>
      <c r="F873" s="1" t="s">
        <v>15</v>
      </c>
      <c r="G873" s="1">
        <v>18688195662.7805</v>
      </c>
    </row>
    <row ht="13.8" outlineLevel="0" r="874">
      <c r="A874" s="1" t="s">
        <v>32</v>
      </c>
      <c r="B874" s="1" t="s">
        <v>33</v>
      </c>
      <c r="C874" s="1" t="s">
        <v>34</v>
      </c>
      <c r="D874" s="3">
        <v>43983</v>
      </c>
      <c r="E874" s="1" t="s">
        <v>18</v>
      </c>
      <c r="F874" s="1" t="s">
        <v>19</v>
      </c>
      <c r="G874" s="1">
        <v>5152158545.8728</v>
      </c>
    </row>
    <row ht="13.8" outlineLevel="0" r="875">
      <c r="A875" s="1" t="s">
        <v>32</v>
      </c>
      <c r="B875" s="1" t="s">
        <v>33</v>
      </c>
      <c r="C875" s="1" t="s">
        <v>34</v>
      </c>
      <c r="D875" s="3">
        <v>43983</v>
      </c>
      <c r="E875" s="1" t="s">
        <v>10</v>
      </c>
      <c r="F875" s="1" t="s">
        <v>11</v>
      </c>
      <c r="G875" s="1">
        <v>44369564260</v>
      </c>
    </row>
    <row ht="13.8" outlineLevel="0" r="876">
      <c r="A876" s="1" t="s">
        <v>32</v>
      </c>
      <c r="B876" s="1" t="s">
        <v>33</v>
      </c>
      <c r="C876" s="1" t="s">
        <v>34</v>
      </c>
      <c r="D876" s="3">
        <v>43952</v>
      </c>
      <c r="E876" s="1" t="s">
        <v>18</v>
      </c>
      <c r="F876" s="1" t="s">
        <v>19</v>
      </c>
      <c r="G876" s="1">
        <v>2932400894.0491</v>
      </c>
    </row>
    <row ht="13.8" outlineLevel="0" r="877">
      <c r="A877" s="1" t="s">
        <v>32</v>
      </c>
      <c r="B877" s="1" t="s">
        <v>33</v>
      </c>
      <c r="C877" s="1" t="s">
        <v>34</v>
      </c>
      <c r="D877" s="3">
        <v>43952</v>
      </c>
      <c r="E877" s="1" t="s">
        <v>16</v>
      </c>
      <c r="F877" s="1" t="s">
        <v>17</v>
      </c>
      <c r="G877" s="1">
        <v>3020375668.0691</v>
      </c>
    </row>
    <row ht="13.8" outlineLevel="0" r="878">
      <c r="A878" s="1" t="s">
        <v>32</v>
      </c>
      <c r="B878" s="1" t="s">
        <v>33</v>
      </c>
      <c r="C878" s="1" t="s">
        <v>34</v>
      </c>
      <c r="D878" s="3">
        <v>43952</v>
      </c>
      <c r="E878" s="1" t="s">
        <v>14</v>
      </c>
      <c r="F878" s="1" t="s">
        <v>15</v>
      </c>
      <c r="G878" s="1">
        <v>15094491367.0063</v>
      </c>
    </row>
    <row ht="13.8" outlineLevel="0" r="879">
      <c r="A879" s="1" t="s">
        <v>32</v>
      </c>
      <c r="B879" s="1" t="s">
        <v>33</v>
      </c>
      <c r="C879" s="1" t="s">
        <v>34</v>
      </c>
      <c r="D879" s="3">
        <v>43952</v>
      </c>
      <c r="E879" s="1" t="s">
        <v>10</v>
      </c>
      <c r="F879" s="1" t="s">
        <v>11</v>
      </c>
      <c r="G879" s="1">
        <v>44300462262</v>
      </c>
    </row>
    <row ht="13.8" outlineLevel="0" r="880">
      <c r="A880" s="1" t="s">
        <v>32</v>
      </c>
      <c r="B880" s="1" t="s">
        <v>33</v>
      </c>
      <c r="C880" s="1" t="s">
        <v>34</v>
      </c>
      <c r="D880" s="3">
        <v>43922</v>
      </c>
      <c r="E880" s="1" t="s">
        <v>10</v>
      </c>
      <c r="F880" s="1" t="s">
        <v>11</v>
      </c>
      <c r="G880" s="1">
        <v>43450109368</v>
      </c>
    </row>
    <row ht="13.8" outlineLevel="0" r="881">
      <c r="A881" s="1" t="s">
        <v>32</v>
      </c>
      <c r="B881" s="1" t="s">
        <v>33</v>
      </c>
      <c r="C881" s="1" t="s">
        <v>34</v>
      </c>
      <c r="D881" s="3">
        <v>43922</v>
      </c>
      <c r="E881" s="1" t="s">
        <v>14</v>
      </c>
      <c r="F881" s="1" t="s">
        <v>15</v>
      </c>
      <c r="G881" s="1">
        <v>13362695829.4727</v>
      </c>
    </row>
    <row ht="13.8" outlineLevel="0" r="882">
      <c r="A882" s="1" t="s">
        <v>32</v>
      </c>
      <c r="B882" s="1" t="s">
        <v>33</v>
      </c>
      <c r="C882" s="1" t="s">
        <v>34</v>
      </c>
      <c r="D882" s="3">
        <v>43922</v>
      </c>
      <c r="E882" s="1" t="s">
        <v>18</v>
      </c>
      <c r="F882" s="1" t="s">
        <v>19</v>
      </c>
      <c r="G882" s="1">
        <v>2092262723.3959</v>
      </c>
    </row>
    <row ht="13.8" outlineLevel="0" r="883">
      <c r="A883" s="1" t="s">
        <v>32</v>
      </c>
      <c r="B883" s="1" t="s">
        <v>33</v>
      </c>
      <c r="C883" s="1" t="s">
        <v>34</v>
      </c>
      <c r="D883" s="3">
        <v>43922</v>
      </c>
      <c r="E883" s="1" t="s">
        <v>16</v>
      </c>
      <c r="F883" s="1" t="s">
        <v>17</v>
      </c>
      <c r="G883" s="1">
        <v>2161378402.2959</v>
      </c>
    </row>
    <row ht="13.8" outlineLevel="0" r="884">
      <c r="A884" s="1" t="s">
        <v>32</v>
      </c>
      <c r="B884" s="1" t="s">
        <v>33</v>
      </c>
      <c r="C884" s="1" t="s">
        <v>34</v>
      </c>
      <c r="D884" s="3">
        <v>43891</v>
      </c>
      <c r="E884" s="1" t="s">
        <v>10</v>
      </c>
      <c r="F884" s="1" t="s">
        <v>11</v>
      </c>
      <c r="G884" s="1">
        <v>41593624493</v>
      </c>
    </row>
    <row ht="13.8" outlineLevel="0" r="885">
      <c r="A885" s="1" t="s">
        <v>32</v>
      </c>
      <c r="B885" s="1" t="s">
        <v>33</v>
      </c>
      <c r="C885" s="1" t="s">
        <v>34</v>
      </c>
      <c r="D885" s="3">
        <v>43891</v>
      </c>
      <c r="E885" s="1" t="s">
        <v>14</v>
      </c>
      <c r="F885" s="1" t="s">
        <v>15</v>
      </c>
      <c r="G885" s="1">
        <v>4026880136.7031</v>
      </c>
    </row>
    <row ht="13.8" outlineLevel="0" r="886">
      <c r="A886" s="1" t="s">
        <v>32</v>
      </c>
      <c r="B886" s="1" t="s">
        <v>33</v>
      </c>
      <c r="C886" s="1" t="s">
        <v>34</v>
      </c>
      <c r="D886" s="3">
        <v>43891</v>
      </c>
      <c r="E886" s="1" t="s">
        <v>16</v>
      </c>
      <c r="F886" s="1" t="s">
        <v>17</v>
      </c>
      <c r="G886" s="1">
        <v>1087783039.512</v>
      </c>
    </row>
    <row ht="13.8" outlineLevel="0" r="887">
      <c r="A887" s="1" t="s">
        <v>32</v>
      </c>
      <c r="B887" s="1" t="s">
        <v>33</v>
      </c>
      <c r="C887" s="1" t="s">
        <v>34</v>
      </c>
      <c r="D887" s="3">
        <v>43891</v>
      </c>
      <c r="E887" s="1" t="s">
        <v>18</v>
      </c>
      <c r="F887" s="1" t="s">
        <v>19</v>
      </c>
      <c r="G887" s="1">
        <v>1052339592.452</v>
      </c>
    </row>
    <row ht="13.8" outlineLevel="0" r="888">
      <c r="A888" s="1" t="s">
        <v>32</v>
      </c>
      <c r="B888" s="1" t="s">
        <v>33</v>
      </c>
      <c r="C888" s="1" t="s">
        <v>34</v>
      </c>
      <c r="D888" s="3">
        <v>43862</v>
      </c>
      <c r="E888" s="1" t="s">
        <v>16</v>
      </c>
      <c r="F888" s="1" t="s">
        <v>17</v>
      </c>
      <c r="G888" s="1">
        <v>199824057.7279</v>
      </c>
    </row>
    <row ht="13.8" outlineLevel="0" r="889">
      <c r="A889" s="1" t="s">
        <v>32</v>
      </c>
      <c r="B889" s="1" t="s">
        <v>33</v>
      </c>
      <c r="C889" s="1" t="s">
        <v>34</v>
      </c>
      <c r="D889" s="3">
        <v>43862</v>
      </c>
      <c r="E889" s="1" t="s">
        <v>14</v>
      </c>
      <c r="F889" s="1" t="s">
        <v>15</v>
      </c>
      <c r="G889" s="1">
        <v>2157269779.3856</v>
      </c>
    </row>
    <row ht="13.8" outlineLevel="0" r="890">
      <c r="A890" s="1" t="s">
        <v>32</v>
      </c>
      <c r="B890" s="1" t="s">
        <v>33</v>
      </c>
      <c r="C890" s="1" t="s">
        <v>34</v>
      </c>
      <c r="D890" s="3">
        <v>43862</v>
      </c>
      <c r="E890" s="1" t="s">
        <v>10</v>
      </c>
      <c r="F890" s="1" t="s">
        <v>11</v>
      </c>
      <c r="G890" s="1">
        <v>41472873833</v>
      </c>
    </row>
    <row ht="13.8" outlineLevel="0" r="891">
      <c r="A891" s="1" t="s">
        <v>32</v>
      </c>
      <c r="B891" s="1" t="s">
        <v>33</v>
      </c>
      <c r="C891" s="1" t="s">
        <v>34</v>
      </c>
      <c r="D891" s="3">
        <v>43862</v>
      </c>
      <c r="E891" s="1" t="s">
        <v>18</v>
      </c>
      <c r="F891" s="1" t="s">
        <v>19</v>
      </c>
      <c r="G891" s="1">
        <v>171401157.0999</v>
      </c>
    </row>
    <row ht="13.8" outlineLevel="0" r="892">
      <c r="A892" s="1" t="s">
        <v>32</v>
      </c>
      <c r="B892" s="1" t="s">
        <v>33</v>
      </c>
      <c r="C892" s="1" t="s">
        <v>34</v>
      </c>
      <c r="D892" s="3">
        <v>43831</v>
      </c>
      <c r="E892" s="1" t="s">
        <v>10</v>
      </c>
      <c r="F892" s="1" t="s">
        <v>11</v>
      </c>
      <c r="G892" s="1">
        <v>41465570947</v>
      </c>
    </row>
    <row ht="13.8" outlineLevel="0" r="893">
      <c r="A893" s="1" t="s">
        <v>32</v>
      </c>
      <c r="B893" s="1" t="s">
        <v>33</v>
      </c>
      <c r="C893" s="1" t="s">
        <v>34</v>
      </c>
      <c r="D893" s="3">
        <v>43831</v>
      </c>
      <c r="E893" s="1" t="s">
        <v>14</v>
      </c>
      <c r="F893" s="1" t="s">
        <v>15</v>
      </c>
      <c r="G893" s="1">
        <v>357971079.9147</v>
      </c>
    </row>
    <row ht="13.8" outlineLevel="0" r="894">
      <c r="A894" s="1" t="s">
        <v>32</v>
      </c>
      <c r="B894" s="1" t="s">
        <v>33</v>
      </c>
      <c r="C894" s="1" t="s">
        <v>34</v>
      </c>
      <c r="D894" s="3">
        <v>43831</v>
      </c>
      <c r="E894" s="1" t="s">
        <v>16</v>
      </c>
      <c r="F894" s="1" t="s">
        <v>17</v>
      </c>
      <c r="G894" s="1">
        <v>36830371.0864</v>
      </c>
    </row>
    <row ht="13.8" outlineLevel="0" r="895">
      <c r="A895" s="1" t="s">
        <v>32</v>
      </c>
      <c r="B895" s="1" t="s">
        <v>33</v>
      </c>
      <c r="C895" s="1" t="s">
        <v>34</v>
      </c>
      <c r="D895" s="3">
        <v>43831</v>
      </c>
      <c r="E895" s="1" t="s">
        <v>18</v>
      </c>
      <c r="F895" s="1" t="s">
        <v>19</v>
      </c>
      <c r="G895" s="1">
        <v>33193639.7864</v>
      </c>
    </row>
    <row ht="13.8" outlineLevel="0" r="896">
      <c r="A896" s="1" t="s">
        <v>32</v>
      </c>
      <c r="B896" s="1" t="s">
        <v>33</v>
      </c>
      <c r="C896" s="1" t="s">
        <v>34</v>
      </c>
      <c r="D896" s="3">
        <v>43800</v>
      </c>
      <c r="E896" s="1" t="s">
        <v>18</v>
      </c>
      <c r="F896" s="1" t="s">
        <v>19</v>
      </c>
      <c r="G896" s="1">
        <v>16387001546.8102</v>
      </c>
    </row>
    <row ht="13.8" outlineLevel="0" r="897">
      <c r="A897" s="1" t="s">
        <v>32</v>
      </c>
      <c r="B897" s="1" t="s">
        <v>33</v>
      </c>
      <c r="C897" s="1" t="s">
        <v>34</v>
      </c>
      <c r="D897" s="3">
        <v>43800</v>
      </c>
      <c r="E897" s="1" t="s">
        <v>20</v>
      </c>
      <c r="F897" s="1" t="s">
        <v>21</v>
      </c>
      <c r="G897" s="1">
        <v>25869348266.8898</v>
      </c>
    </row>
    <row ht="13.8" outlineLevel="0" r="898">
      <c r="A898" s="1" t="s">
        <v>32</v>
      </c>
      <c r="B898" s="1" t="s">
        <v>33</v>
      </c>
      <c r="C898" s="1" t="s">
        <v>34</v>
      </c>
      <c r="D898" s="3">
        <v>43800</v>
      </c>
      <c r="E898" s="1" t="s">
        <v>14</v>
      </c>
      <c r="F898" s="1" t="s">
        <v>15</v>
      </c>
      <c r="G898" s="1">
        <v>42499157588.5446</v>
      </c>
    </row>
    <row ht="13.8" outlineLevel="0" r="899">
      <c r="A899" s="1" t="s">
        <v>32</v>
      </c>
      <c r="B899" s="1" t="s">
        <v>33</v>
      </c>
      <c r="C899" s="1" t="s">
        <v>34</v>
      </c>
      <c r="D899" s="3">
        <v>43800</v>
      </c>
      <c r="E899" s="1" t="s">
        <v>10</v>
      </c>
      <c r="F899" s="1" t="s">
        <v>11</v>
      </c>
      <c r="G899" s="1">
        <v>45501706917.96</v>
      </c>
    </row>
    <row ht="13.8" outlineLevel="0" r="900">
      <c r="A900" s="1" t="s">
        <v>32</v>
      </c>
      <c r="B900" s="1" t="s">
        <v>33</v>
      </c>
      <c r="C900" s="1" t="s">
        <v>34</v>
      </c>
      <c r="D900" s="3">
        <v>43800</v>
      </c>
      <c r="E900" s="1" t="s">
        <v>16</v>
      </c>
      <c r="F900" s="1" t="s">
        <v>17</v>
      </c>
      <c r="G900" s="1">
        <v>16629809321.6547</v>
      </c>
    </row>
    <row ht="13.8" outlineLevel="0" r="901">
      <c r="A901" s="1" t="s">
        <v>32</v>
      </c>
      <c r="B901" s="1" t="s">
        <v>33</v>
      </c>
      <c r="C901" s="1" t="s">
        <v>34</v>
      </c>
      <c r="D901" s="3">
        <v>43770</v>
      </c>
      <c r="E901" s="1" t="s">
        <v>18</v>
      </c>
      <c r="F901" s="1" t="s">
        <v>19</v>
      </c>
      <c r="G901" s="1">
        <v>10584313660.2137</v>
      </c>
    </row>
    <row ht="13.8" outlineLevel="0" r="902">
      <c r="A902" s="1" t="s">
        <v>32</v>
      </c>
      <c r="B902" s="1" t="s">
        <v>33</v>
      </c>
      <c r="C902" s="1" t="s">
        <v>34</v>
      </c>
      <c r="D902" s="3">
        <v>43770</v>
      </c>
      <c r="E902" s="1" t="s">
        <v>14</v>
      </c>
      <c r="F902" s="1" t="s">
        <v>15</v>
      </c>
      <c r="G902" s="1">
        <v>25219836301.4989</v>
      </c>
    </row>
    <row ht="13.8" outlineLevel="0" r="903">
      <c r="A903" s="1" t="s">
        <v>32</v>
      </c>
      <c r="B903" s="1" t="s">
        <v>33</v>
      </c>
      <c r="C903" s="1" t="s">
        <v>34</v>
      </c>
      <c r="D903" s="3">
        <v>43770</v>
      </c>
      <c r="E903" s="1" t="s">
        <v>10</v>
      </c>
      <c r="F903" s="1" t="s">
        <v>11</v>
      </c>
      <c r="G903" s="1">
        <v>37271504419.98</v>
      </c>
    </row>
    <row ht="13.8" outlineLevel="0" r="904">
      <c r="A904" s="1" t="s">
        <v>32</v>
      </c>
      <c r="B904" s="1" t="s">
        <v>33</v>
      </c>
      <c r="C904" s="1" t="s">
        <v>34</v>
      </c>
      <c r="D904" s="3">
        <v>43770</v>
      </c>
      <c r="E904" s="1" t="s">
        <v>16</v>
      </c>
      <c r="F904" s="1" t="s">
        <v>17</v>
      </c>
      <c r="G904" s="1">
        <v>10804200450.6677</v>
      </c>
    </row>
    <row ht="13.8" outlineLevel="0" r="905">
      <c r="A905" s="1" t="s">
        <v>32</v>
      </c>
      <c r="B905" s="1" t="s">
        <v>33</v>
      </c>
      <c r="C905" s="1" t="s">
        <v>34</v>
      </c>
      <c r="D905" s="3">
        <v>43739</v>
      </c>
      <c r="E905" s="1" t="s">
        <v>10</v>
      </c>
      <c r="F905" s="1" t="s">
        <v>11</v>
      </c>
      <c r="G905" s="1">
        <v>36171005167.99</v>
      </c>
    </row>
    <row ht="13.8" outlineLevel="0" r="906">
      <c r="A906" s="1" t="s">
        <v>32</v>
      </c>
      <c r="B906" s="1" t="s">
        <v>33</v>
      </c>
      <c r="C906" s="1" t="s">
        <v>34</v>
      </c>
      <c r="D906" s="3">
        <v>43739</v>
      </c>
      <c r="E906" s="1" t="s">
        <v>18</v>
      </c>
      <c r="F906" s="1" t="s">
        <v>19</v>
      </c>
      <c r="G906" s="1">
        <v>8289507176.5078</v>
      </c>
    </row>
    <row ht="13.8" outlineLevel="0" r="907">
      <c r="A907" s="1" t="s">
        <v>32</v>
      </c>
      <c r="B907" s="1" t="s">
        <v>33</v>
      </c>
      <c r="C907" s="1" t="s">
        <v>34</v>
      </c>
      <c r="D907" s="3">
        <v>43739</v>
      </c>
      <c r="E907" s="1" t="s">
        <v>16</v>
      </c>
      <c r="F907" s="1" t="s">
        <v>17</v>
      </c>
      <c r="G907" s="1">
        <v>8793671190.0474</v>
      </c>
    </row>
    <row ht="13.8" outlineLevel="0" r="908">
      <c r="A908" s="1" t="s">
        <v>32</v>
      </c>
      <c r="B908" s="1" t="s">
        <v>33</v>
      </c>
      <c r="C908" s="1" t="s">
        <v>34</v>
      </c>
      <c r="D908" s="3">
        <v>43739</v>
      </c>
      <c r="E908" s="1" t="s">
        <v>14</v>
      </c>
      <c r="F908" s="1" t="s">
        <v>15</v>
      </c>
      <c r="G908" s="1">
        <v>19943912445.424</v>
      </c>
    </row>
    <row ht="13.8" outlineLevel="0" r="909">
      <c r="A909" s="1" t="s">
        <v>32</v>
      </c>
      <c r="B909" s="1" t="s">
        <v>33</v>
      </c>
      <c r="C909" s="1" t="s">
        <v>34</v>
      </c>
      <c r="D909" s="3">
        <v>43709</v>
      </c>
      <c r="E909" s="1" t="s">
        <v>16</v>
      </c>
      <c r="F909" s="1" t="s">
        <v>17</v>
      </c>
      <c r="G909" s="1">
        <v>7129982184.3909</v>
      </c>
    </row>
    <row ht="13.8" outlineLevel="0" r="910">
      <c r="A910" s="1" t="s">
        <v>32</v>
      </c>
      <c r="B910" s="1" t="s">
        <v>33</v>
      </c>
      <c r="C910" s="1" t="s">
        <v>34</v>
      </c>
      <c r="D910" s="3">
        <v>43709</v>
      </c>
      <c r="E910" s="1" t="s">
        <v>18</v>
      </c>
      <c r="F910" s="1" t="s">
        <v>19</v>
      </c>
      <c r="G910" s="1">
        <v>6344971421.9289</v>
      </c>
    </row>
    <row ht="13.8" outlineLevel="0" r="911">
      <c r="A911" s="1" t="s">
        <v>32</v>
      </c>
      <c r="B911" s="1" t="s">
        <v>33</v>
      </c>
      <c r="C911" s="1" t="s">
        <v>34</v>
      </c>
      <c r="D911" s="3">
        <v>43709</v>
      </c>
      <c r="E911" s="1" t="s">
        <v>14</v>
      </c>
      <c r="F911" s="1" t="s">
        <v>15</v>
      </c>
      <c r="G911" s="1">
        <v>18044063960.9473</v>
      </c>
    </row>
    <row ht="13.8" outlineLevel="0" r="912">
      <c r="A912" s="1" t="s">
        <v>32</v>
      </c>
      <c r="B912" s="1" t="s">
        <v>33</v>
      </c>
      <c r="C912" s="1" t="s">
        <v>34</v>
      </c>
      <c r="D912" s="3">
        <v>43709</v>
      </c>
      <c r="E912" s="1" t="s">
        <v>10</v>
      </c>
      <c r="F912" s="1" t="s">
        <v>11</v>
      </c>
      <c r="G912" s="1">
        <v>36318332842.99</v>
      </c>
    </row>
    <row ht="13.8" outlineLevel="0" r="913">
      <c r="A913" s="1" t="s">
        <v>32</v>
      </c>
      <c r="B913" s="1" t="s">
        <v>33</v>
      </c>
      <c r="C913" s="1" t="s">
        <v>34</v>
      </c>
      <c r="D913" s="3">
        <v>43678</v>
      </c>
      <c r="E913" s="1" t="s">
        <v>10</v>
      </c>
      <c r="F913" s="1" t="s">
        <v>11</v>
      </c>
      <c r="G913" s="1">
        <v>35838134202.99</v>
      </c>
    </row>
    <row ht="13.8" outlineLevel="0" r="914">
      <c r="A914" s="1" t="s">
        <v>32</v>
      </c>
      <c r="B914" s="1" t="s">
        <v>33</v>
      </c>
      <c r="C914" s="1" t="s">
        <v>34</v>
      </c>
      <c r="D914" s="3">
        <v>43678</v>
      </c>
      <c r="E914" s="1" t="s">
        <v>14</v>
      </c>
      <c r="F914" s="1" t="s">
        <v>15</v>
      </c>
      <c r="G914" s="1">
        <v>16319908660.9421</v>
      </c>
    </row>
    <row ht="13.8" outlineLevel="0" r="915">
      <c r="A915" s="1" t="s">
        <v>32</v>
      </c>
      <c r="B915" s="1" t="s">
        <v>33</v>
      </c>
      <c r="C915" s="1" t="s">
        <v>34</v>
      </c>
      <c r="D915" s="3">
        <v>43678</v>
      </c>
      <c r="E915" s="1" t="s">
        <v>16</v>
      </c>
      <c r="F915" s="1" t="s">
        <v>17</v>
      </c>
      <c r="G915" s="1">
        <v>5506752930.0686</v>
      </c>
    </row>
    <row ht="13.8" outlineLevel="0" r="916">
      <c r="A916" s="1" t="s">
        <v>32</v>
      </c>
      <c r="B916" s="1" t="s">
        <v>33</v>
      </c>
      <c r="C916" s="1" t="s">
        <v>34</v>
      </c>
      <c r="D916" s="3">
        <v>43678</v>
      </c>
      <c r="E916" s="1" t="s">
        <v>18</v>
      </c>
      <c r="F916" s="1" t="s">
        <v>19</v>
      </c>
      <c r="G916" s="1">
        <v>4849002625.567</v>
      </c>
    </row>
    <row ht="13.8" outlineLevel="0" r="917">
      <c r="A917" s="1" t="s">
        <v>32</v>
      </c>
      <c r="B917" s="1" t="s">
        <v>33</v>
      </c>
      <c r="C917" s="1" t="s">
        <v>34</v>
      </c>
      <c r="D917" s="3">
        <v>43647</v>
      </c>
      <c r="E917" s="1" t="s">
        <v>16</v>
      </c>
      <c r="F917" s="1" t="s">
        <v>17</v>
      </c>
      <c r="G917" s="1">
        <v>4064615520.9576</v>
      </c>
    </row>
    <row ht="13.8" outlineLevel="0" r="918">
      <c r="A918" s="1" t="s">
        <v>32</v>
      </c>
      <c r="B918" s="1" t="s">
        <v>33</v>
      </c>
      <c r="C918" s="1" t="s">
        <v>34</v>
      </c>
      <c r="D918" s="3">
        <v>43647</v>
      </c>
      <c r="E918" s="1" t="s">
        <v>10</v>
      </c>
      <c r="F918" s="1" t="s">
        <v>11</v>
      </c>
      <c r="G918" s="1">
        <v>35897741926</v>
      </c>
    </row>
    <row ht="13.8" outlineLevel="0" r="919">
      <c r="A919" s="1" t="s">
        <v>32</v>
      </c>
      <c r="B919" s="1" t="s">
        <v>33</v>
      </c>
      <c r="C919" s="1" t="s">
        <v>34</v>
      </c>
      <c r="D919" s="3">
        <v>43647</v>
      </c>
      <c r="E919" s="1" t="s">
        <v>18</v>
      </c>
      <c r="F919" s="1" t="s">
        <v>19</v>
      </c>
      <c r="G919" s="1">
        <v>3712104995.7976</v>
      </c>
    </row>
    <row ht="13.8" outlineLevel="0" r="920">
      <c r="A920" s="1" t="s">
        <v>32</v>
      </c>
      <c r="B920" s="1" t="s">
        <v>33</v>
      </c>
      <c r="C920" s="1" t="s">
        <v>34</v>
      </c>
      <c r="D920" s="3">
        <v>43647</v>
      </c>
      <c r="E920" s="1" t="s">
        <v>14</v>
      </c>
      <c r="F920" s="1" t="s">
        <v>15</v>
      </c>
      <c r="G920" s="1">
        <v>14282155821.0465</v>
      </c>
    </row>
    <row ht="13.8" outlineLevel="0" r="921">
      <c r="A921" s="1" t="s">
        <v>32</v>
      </c>
      <c r="B921" s="1" t="s">
        <v>33</v>
      </c>
      <c r="C921" s="1" t="s">
        <v>34</v>
      </c>
      <c r="D921" s="3">
        <v>43617</v>
      </c>
      <c r="E921" s="1" t="s">
        <v>18</v>
      </c>
      <c r="F921" s="1" t="s">
        <v>19</v>
      </c>
      <c r="G921" s="1">
        <v>2587317402.7327</v>
      </c>
    </row>
    <row ht="13.8" outlineLevel="0" r="922">
      <c r="A922" s="1" t="s">
        <v>32</v>
      </c>
      <c r="B922" s="1" t="s">
        <v>33</v>
      </c>
      <c r="C922" s="1" t="s">
        <v>34</v>
      </c>
      <c r="D922" s="3">
        <v>43617</v>
      </c>
      <c r="E922" s="1" t="s">
        <v>10</v>
      </c>
      <c r="F922" s="1" t="s">
        <v>11</v>
      </c>
      <c r="G922" s="1">
        <v>37087650241</v>
      </c>
    </row>
    <row ht="13.8" outlineLevel="0" r="923">
      <c r="A923" s="1" t="s">
        <v>32</v>
      </c>
      <c r="B923" s="1" t="s">
        <v>33</v>
      </c>
      <c r="C923" s="1" t="s">
        <v>34</v>
      </c>
      <c r="D923" s="3">
        <v>43617</v>
      </c>
      <c r="E923" s="1" t="s">
        <v>16</v>
      </c>
      <c r="F923" s="1" t="s">
        <v>17</v>
      </c>
      <c r="G923" s="1">
        <v>2830121116.4327</v>
      </c>
    </row>
    <row ht="13.8" outlineLevel="0" r="924">
      <c r="A924" s="1" t="s">
        <v>32</v>
      </c>
      <c r="B924" s="1" t="s">
        <v>33</v>
      </c>
      <c r="C924" s="1" t="s">
        <v>34</v>
      </c>
      <c r="D924" s="3">
        <v>43617</v>
      </c>
      <c r="E924" s="1" t="s">
        <v>14</v>
      </c>
      <c r="F924" s="1" t="s">
        <v>15</v>
      </c>
      <c r="G924" s="1">
        <v>12367676586.786</v>
      </c>
    </row>
    <row ht="13.8" outlineLevel="0" r="925">
      <c r="A925" s="1" t="s">
        <v>32</v>
      </c>
      <c r="B925" s="1" t="s">
        <v>33</v>
      </c>
      <c r="C925" s="1" t="s">
        <v>34</v>
      </c>
      <c r="D925" s="3">
        <v>43586</v>
      </c>
      <c r="E925" s="1" t="s">
        <v>18</v>
      </c>
      <c r="F925" s="1" t="s">
        <v>19</v>
      </c>
      <c r="G925" s="1">
        <v>1838306218.1112</v>
      </c>
    </row>
    <row ht="13.8" outlineLevel="0" r="926">
      <c r="A926" s="1" t="s">
        <v>32</v>
      </c>
      <c r="B926" s="1" t="s">
        <v>33</v>
      </c>
      <c r="C926" s="1" t="s">
        <v>34</v>
      </c>
      <c r="D926" s="3">
        <v>43586</v>
      </c>
      <c r="E926" s="1" t="s">
        <v>10</v>
      </c>
      <c r="F926" s="1" t="s">
        <v>11</v>
      </c>
      <c r="G926" s="1">
        <v>36905245123</v>
      </c>
    </row>
    <row ht="13.8" outlineLevel="0" r="927">
      <c r="A927" s="1" t="s">
        <v>32</v>
      </c>
      <c r="B927" s="1" t="s">
        <v>33</v>
      </c>
      <c r="C927" s="1" t="s">
        <v>34</v>
      </c>
      <c r="D927" s="3">
        <v>43586</v>
      </c>
      <c r="E927" s="1" t="s">
        <v>14</v>
      </c>
      <c r="F927" s="1" t="s">
        <v>15</v>
      </c>
      <c r="G927" s="1">
        <v>10526859424.2737</v>
      </c>
    </row>
    <row ht="13.8" outlineLevel="0" r="928">
      <c r="A928" s="1" t="s">
        <v>32</v>
      </c>
      <c r="B928" s="1" t="s">
        <v>33</v>
      </c>
      <c r="C928" s="1" t="s">
        <v>34</v>
      </c>
      <c r="D928" s="3">
        <v>43586</v>
      </c>
      <c r="E928" s="1" t="s">
        <v>16</v>
      </c>
      <c r="F928" s="1" t="s">
        <v>17</v>
      </c>
      <c r="G928" s="1">
        <v>1960734362.8437</v>
      </c>
    </row>
    <row ht="13.8" outlineLevel="0" r="929">
      <c r="A929" s="1" t="s">
        <v>32</v>
      </c>
      <c r="B929" s="1" t="s">
        <v>33</v>
      </c>
      <c r="C929" s="1" t="s">
        <v>34</v>
      </c>
      <c r="D929" s="3">
        <v>43556</v>
      </c>
      <c r="E929" s="1" t="s">
        <v>14</v>
      </c>
      <c r="F929" s="1" t="s">
        <v>15</v>
      </c>
      <c r="G929" s="1">
        <v>7161256479.1124</v>
      </c>
    </row>
    <row ht="13.8" outlineLevel="0" r="930">
      <c r="A930" s="1" t="s">
        <v>32</v>
      </c>
      <c r="B930" s="1" t="s">
        <v>33</v>
      </c>
      <c r="C930" s="1" t="s">
        <v>34</v>
      </c>
      <c r="D930" s="3">
        <v>43556</v>
      </c>
      <c r="E930" s="1" t="s">
        <v>18</v>
      </c>
      <c r="F930" s="1" t="s">
        <v>19</v>
      </c>
      <c r="G930" s="1">
        <v>1121485503.7805</v>
      </c>
    </row>
    <row ht="13.8" outlineLevel="0" r="931">
      <c r="A931" s="1" t="s">
        <v>32</v>
      </c>
      <c r="B931" s="1" t="s">
        <v>33</v>
      </c>
      <c r="C931" s="1" t="s">
        <v>34</v>
      </c>
      <c r="D931" s="3">
        <v>43556</v>
      </c>
      <c r="E931" s="1" t="s">
        <v>16</v>
      </c>
      <c r="F931" s="1" t="s">
        <v>17</v>
      </c>
      <c r="G931" s="1">
        <v>1267269915.0705</v>
      </c>
    </row>
    <row ht="13.8" outlineLevel="0" r="932">
      <c r="A932" s="1" t="s">
        <v>32</v>
      </c>
      <c r="B932" s="1" t="s">
        <v>33</v>
      </c>
      <c r="C932" s="1" t="s">
        <v>34</v>
      </c>
      <c r="D932" s="3">
        <v>43556</v>
      </c>
      <c r="E932" s="1" t="s">
        <v>10</v>
      </c>
      <c r="F932" s="1" t="s">
        <v>11</v>
      </c>
      <c r="G932" s="1">
        <v>36337312407</v>
      </c>
    </row>
    <row ht="13.8" outlineLevel="0" r="933">
      <c r="A933" s="1" t="s">
        <v>32</v>
      </c>
      <c r="B933" s="1" t="s">
        <v>33</v>
      </c>
      <c r="C933" s="1" t="s">
        <v>34</v>
      </c>
      <c r="D933" s="3">
        <v>43525</v>
      </c>
      <c r="E933" s="1" t="s">
        <v>16</v>
      </c>
      <c r="F933" s="1" t="s">
        <v>17</v>
      </c>
      <c r="G933" s="1">
        <v>588434793.468</v>
      </c>
    </row>
    <row ht="13.8" outlineLevel="0" r="934">
      <c r="A934" s="1" t="s">
        <v>32</v>
      </c>
      <c r="B934" s="1" t="s">
        <v>33</v>
      </c>
      <c r="C934" s="1" t="s">
        <v>34</v>
      </c>
      <c r="D934" s="3">
        <v>43525</v>
      </c>
      <c r="E934" s="1" t="s">
        <v>18</v>
      </c>
      <c r="F934" s="1" t="s">
        <v>19</v>
      </c>
      <c r="G934" s="1">
        <v>496636674.708</v>
      </c>
    </row>
    <row ht="13.8" outlineLevel="0" r="935">
      <c r="A935" s="1" t="s">
        <v>32</v>
      </c>
      <c r="B935" s="1" t="s">
        <v>33</v>
      </c>
      <c r="C935" s="1" t="s">
        <v>34</v>
      </c>
      <c r="D935" s="3">
        <v>43525</v>
      </c>
      <c r="E935" s="1" t="s">
        <v>14</v>
      </c>
      <c r="F935" s="1" t="s">
        <v>15</v>
      </c>
      <c r="G935" s="1">
        <v>2960499343.3697</v>
      </c>
    </row>
    <row ht="13.8" outlineLevel="0" r="936">
      <c r="A936" s="1" t="s">
        <v>32</v>
      </c>
      <c r="B936" s="1" t="s">
        <v>33</v>
      </c>
      <c r="C936" s="1" t="s">
        <v>34</v>
      </c>
      <c r="D936" s="3">
        <v>43525</v>
      </c>
      <c r="E936" s="1" t="s">
        <v>10</v>
      </c>
      <c r="F936" s="1" t="s">
        <v>11</v>
      </c>
      <c r="G936" s="1">
        <v>36178016889</v>
      </c>
    </row>
    <row ht="13.8" outlineLevel="0" r="937">
      <c r="A937" s="1" t="s">
        <v>32</v>
      </c>
      <c r="B937" s="1" t="s">
        <v>33</v>
      </c>
      <c r="C937" s="1" t="s">
        <v>34</v>
      </c>
      <c r="D937" s="3">
        <v>43497</v>
      </c>
      <c r="E937" s="1" t="s">
        <v>18</v>
      </c>
      <c r="F937" s="1" t="s">
        <v>19</v>
      </c>
      <c r="G937" s="1">
        <v>34904538.7129</v>
      </c>
    </row>
    <row ht="13.8" outlineLevel="0" r="938">
      <c r="A938" s="1" t="s">
        <v>32</v>
      </c>
      <c r="B938" s="1" t="s">
        <v>33</v>
      </c>
      <c r="C938" s="1" t="s">
        <v>34</v>
      </c>
      <c r="D938" s="3">
        <v>43497</v>
      </c>
      <c r="E938" s="1" t="s">
        <v>14</v>
      </c>
      <c r="F938" s="1" t="s">
        <v>15</v>
      </c>
      <c r="G938" s="1">
        <v>2211693481.958</v>
      </c>
    </row>
    <row ht="13.8" outlineLevel="0" r="939">
      <c r="A939" s="1" t="s">
        <v>32</v>
      </c>
      <c r="B939" s="1" t="s">
        <v>33</v>
      </c>
      <c r="C939" s="1" t="s">
        <v>34</v>
      </c>
      <c r="D939" s="3">
        <v>43497</v>
      </c>
      <c r="E939" s="1" t="s">
        <v>16</v>
      </c>
      <c r="F939" s="1" t="s">
        <v>17</v>
      </c>
      <c r="G939" s="1">
        <v>124580242.2929</v>
      </c>
    </row>
    <row ht="13.8" outlineLevel="0" r="940">
      <c r="A940" s="1" t="s">
        <v>32</v>
      </c>
      <c r="B940" s="1" t="s">
        <v>33</v>
      </c>
      <c r="C940" s="1" t="s">
        <v>34</v>
      </c>
      <c r="D940" s="3">
        <v>43497</v>
      </c>
      <c r="E940" s="1" t="s">
        <v>10</v>
      </c>
      <c r="F940" s="1" t="s">
        <v>11</v>
      </c>
      <c r="G940" s="1">
        <v>36208652952</v>
      </c>
    </row>
    <row ht="13.8" outlineLevel="0" r="941">
      <c r="A941" s="1" t="s">
        <v>32</v>
      </c>
      <c r="B941" s="1" t="s">
        <v>33</v>
      </c>
      <c r="C941" s="1" t="s">
        <v>34</v>
      </c>
      <c r="D941" s="3">
        <v>43466</v>
      </c>
      <c r="E941" s="1" t="s">
        <v>16</v>
      </c>
      <c r="F941" s="1" t="s">
        <v>17</v>
      </c>
      <c r="G941" s="1">
        <v>54651405.3081</v>
      </c>
    </row>
    <row ht="13.8" outlineLevel="0" r="942">
      <c r="A942" s="1" t="s">
        <v>32</v>
      </c>
      <c r="B942" s="1" t="s">
        <v>33</v>
      </c>
      <c r="C942" s="1" t="s">
        <v>34</v>
      </c>
      <c r="D942" s="3">
        <v>43466</v>
      </c>
      <c r="E942" s="1" t="s">
        <v>18</v>
      </c>
      <c r="F942" s="1" t="s">
        <v>19</v>
      </c>
      <c r="G942" s="1">
        <v>2142870.8181</v>
      </c>
    </row>
    <row ht="13.8" outlineLevel="0" r="943">
      <c r="A943" s="1" t="s">
        <v>32</v>
      </c>
      <c r="B943" s="1" t="s">
        <v>33</v>
      </c>
      <c r="C943" s="1" t="s">
        <v>34</v>
      </c>
      <c r="D943" s="3">
        <v>43466</v>
      </c>
      <c r="E943" s="1" t="s">
        <v>14</v>
      </c>
      <c r="F943" s="1" t="s">
        <v>15</v>
      </c>
      <c r="G943" s="1">
        <v>772596073.9847</v>
      </c>
    </row>
    <row ht="13.8" outlineLevel="0" r="944">
      <c r="A944" s="1" t="s">
        <v>32</v>
      </c>
      <c r="B944" s="1" t="s">
        <v>33</v>
      </c>
      <c r="C944" s="1" t="s">
        <v>34</v>
      </c>
      <c r="D944" s="3">
        <v>43466</v>
      </c>
      <c r="E944" s="1" t="s">
        <v>10</v>
      </c>
      <c r="F944" s="1" t="s">
        <v>11</v>
      </c>
      <c r="G944" s="1">
        <v>36204773083</v>
      </c>
    </row>
  </sheetData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262626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2"/>
  <cols>
    <col min="1" max="1" width="32.94" style="479" customWidth="1"/>
    <col min="2" max="2" width="18.63" style="479" customWidth="1"/>
    <col min="3" max="12" width="14.31" style="479" customWidth="1"/>
    <col min="13" max="13" width="12.15" style="479" customWidth="1"/>
    <col min="14" max="14" width="14.58" style="479" customWidth="1"/>
    <col min="15" max="15" width="13.63" style="479" customWidth="1"/>
    <col min="16" max="16" width="41.04" style="479" customWidth="1"/>
    <col min="17" max="17" width="16.74" style="479" customWidth="1"/>
    <col min="18" max="18" width="8.37" style="479" customWidth="1"/>
    <col min="19" max="19" width="15.93" style="479" customWidth="1"/>
    <col min="20" max="20" width="14.58" style="479" customWidth="1"/>
    <col min="21" max="21" width="9.85" style="479" customWidth="1"/>
    <col min="22" max="22" width="15.8" style="479" customWidth="1"/>
    <col min="23" max="1025" width="8.37" style="479" customWidth="1"/>
  </cols>
  <sheetData>
    <row ht="12.8" outlineLevel="0" r="1">
      <c r="K1" s="480" t="s">
        <v>817</v>
      </c>
      <c r="L1" s="481" t="e">
        <f>RCL!C30</f>
        <v>#NAME?</v>
      </c>
    </row>
    <row ht="15" outlineLevel="0" r="2">
      <c r="A2" s="482" t="s">
        <v>818</v>
      </c>
      <c r="K2" s="480" t="s">
        <v>819</v>
      </c>
      <c r="L2" s="481" t="e">
        <f>EDATE(L1,-12)</f>
        <v>#NAME?</v>
      </c>
    </row>
    <row ht="12.8" customHeight="1" outlineLevel="0" r="3" s="4" customFormat="1">
      <c r="A3" s="483"/>
      <c r="B3" s="483"/>
      <c r="C3" s="484" t="s">
        <v>820</v>
      </c>
      <c r="D3" s="484"/>
      <c r="E3" s="484" t="s">
        <v>821</v>
      </c>
      <c r="F3" s="484"/>
      <c r="G3" s="484" t="s">
        <v>822</v>
      </c>
      <c r="H3" s="484"/>
      <c r="I3" s="485" t="s">
        <v>823</v>
      </c>
      <c r="J3" s="485"/>
      <c r="S3" s="479"/>
      <c r="T3" s="479"/>
      <c r="U3" s="479"/>
      <c r="V3" s="479"/>
      <c r="W3" s="479"/>
      <c r="X3" s="479"/>
    </row>
    <row ht="12.8" outlineLevel="0" r="4" s="4" customFormat="1">
      <c r="A4" s="483"/>
      <c r="B4" s="483"/>
      <c r="C4" s="485" t="e">
        <f>"Saldo/"&amp;YEAR($L$1)</f>
        <v>#NAME?</v>
      </c>
      <c r="D4" s="485" t="e">
        <f>"Saldo/"&amp;YEAR($L$2)</f>
        <v>#NAME?</v>
      </c>
      <c r="E4" s="485" t="e">
        <f>"Saldo/"&amp;YEAR($L$1)</f>
        <v>#NAME?</v>
      </c>
      <c r="F4" s="485" t="e">
        <f>"Saldo/"&amp;YEAR($L$2)</f>
        <v>#NAME?</v>
      </c>
      <c r="G4" s="485" t="e">
        <f>"Saldo/"&amp;YEAR($L$1)</f>
        <v>#NAME?</v>
      </c>
      <c r="H4" s="485" t="e">
        <f>"Saldo/"&amp;YEAR($L$2)</f>
        <v>#NAME?</v>
      </c>
      <c r="I4" s="485" t="e">
        <f>"Saldo/"&amp;YEAR($L$1)</f>
        <v>#NAME?</v>
      </c>
      <c r="J4" s="485" t="e">
        <f>"Saldo/"&amp;YEAR($L$2)</f>
        <v>#NAME?</v>
      </c>
      <c r="M4" s="197" t="s">
        <v>824</v>
      </c>
      <c r="N4" s="197" t="s">
        <v>825</v>
      </c>
      <c r="S4" s="479"/>
      <c r="T4" s="479"/>
      <c r="U4" s="479"/>
      <c r="V4" s="479"/>
      <c r="W4" s="479"/>
      <c r="X4" s="479"/>
    </row>
    <row ht="12.8" outlineLevel="0" r="5" s="4" customFormat="1">
      <c r="A5" s="486" t="s">
        <v>826</v>
      </c>
      <c r="B5" s="486"/>
      <c r="C5" s="487">
        <f>C6+C13+C18</f>
        <v>0</v>
      </c>
      <c r="D5" s="487">
        <f>D6+D13+D18</f>
        <v>0</v>
      </c>
      <c r="E5" s="487">
        <f>E6+E13+E18</f>
        <v>0</v>
      </c>
      <c r="F5" s="487">
        <f>F6+F13+F18</f>
        <v>0</v>
      </c>
      <c r="G5" s="487">
        <f>G6+G13+G18</f>
        <v>0</v>
      </c>
      <c r="H5" s="487">
        <f>H6+H13+H18</f>
        <v>0</v>
      </c>
      <c r="I5" s="487">
        <f>I6+I13+I18</f>
        <v>0</v>
      </c>
      <c r="J5" s="487">
        <f>J6+J13+J18</f>
        <v>0</v>
      </c>
      <c r="S5" s="479"/>
      <c r="T5" s="479"/>
      <c r="U5" s="479"/>
      <c r="V5" s="479"/>
      <c r="W5" s="479"/>
      <c r="X5" s="479"/>
    </row>
    <row ht="12.8" outlineLevel="0" r="6" s="4" customFormat="1">
      <c r="A6" s="488" t="s">
        <v>827</v>
      </c>
      <c r="B6" s="488"/>
      <c r="C6" s="489">
        <f>C7+C8+C9</f>
        <v>0</v>
      </c>
      <c r="D6" s="489">
        <f>D7+D8+D9</f>
        <v>0</v>
      </c>
      <c r="E6" s="489">
        <f>E7+E8+E9</f>
        <v>0</v>
      </c>
      <c r="F6" s="489">
        <f>F7+F8+F9</f>
        <v>0</v>
      </c>
      <c r="G6" s="489">
        <f>G7+G8+G9</f>
        <v>0</v>
      </c>
      <c r="H6" s="489">
        <f>H7+H8+H9</f>
        <v>0</v>
      </c>
      <c r="I6" s="489">
        <f>I7+I8+I9</f>
        <v>0</v>
      </c>
      <c r="J6" s="489">
        <f>J7+J8+J9</f>
        <v>0</v>
      </c>
      <c r="M6" s="25" t="e">
        <f>I6/E6</f>
        <v>#DIV/0!</v>
      </c>
      <c r="N6" s="25" t="e">
        <f>E6/C6</f>
        <v>#DIV/0!</v>
      </c>
      <c r="S6" s="479"/>
      <c r="T6" s="479"/>
      <c r="U6" s="479"/>
      <c r="V6" s="479"/>
      <c r="W6" s="479"/>
      <c r="X6" s="479"/>
    </row>
    <row ht="12.8" outlineLevel="0" r="7" s="4" customFormat="1">
      <c r="A7" s="483" t="s">
        <v>26</v>
      </c>
      <c r="B7" s="490" t="s">
        <v>26</v>
      </c>
      <c r="C7" s="491">
        <f>SUMIFS('BO_(série)'!$G$1:$G$1508, 'BO_(série)'!$E$1:$E$1508,"13", 'BO_(série)'!$B$1:$B$1508,'BO_-_Gráficos'!$B7, 'BO_(série)'!$A$1:$A$1508,'BO_-_Gráficos'!$L$1)/1000000</f>
        <v>0</v>
      </c>
      <c r="D7" s="491">
        <f>SUMIFS('BO_(série)'!$G$1:$G$1508, 'BO_(série)'!$E$1:$E$1508,"13", 'BO_(série)'!$B$1:$B$1508,'BO_-_Gráficos'!$B7, 'BO_(série)'!$A$1:$A$1508,'BO_-_Gráficos'!$L$2)/1000000</f>
        <v>0</v>
      </c>
      <c r="E7" s="491">
        <f>SUMIFS('BO_(série)'!$G$1:$G$1508, 'BO_(série)'!$E$1:$E$1508,"23", 'BO_(série)'!$B$1:$B$1508,'BO_-_Gráficos'!$B7, 'BO_(série)'!$A$1:$A$1508,'BO_-_Gráficos'!$L$1)/1000000</f>
        <v>0</v>
      </c>
      <c r="F7" s="491">
        <f>SUMIFS('BO_(série)'!$G$1:$G$1508, 'BO_(série)'!$E$1:$E$1508,"23", 'BO_(série)'!$B$1:$B$1508,'BO_-_Gráficos'!$B7, 'BO_(série)'!$A$1:$A$1508,'BO_-_Gráficos'!$L$2)/1000000</f>
        <v>0</v>
      </c>
      <c r="G7" s="491">
        <f>SUMIFS('BO_(série)'!$G$1:$G$1508, 'BO_(série)'!$E$1:$E$1508,"25", 'BO_(série)'!$B$1:$B$1508,'BO_-_Gráficos'!$B7, 'BO_(série)'!$A$1:$A$1508,'BO_-_Gráficos'!$L$1)/1000000 + SUMIFS('BO_(série)'!$G$1:$G$1508, 'BO_(série)'!$E$1:$E$1508,"27", 'BO_(série)'!$B$1:$B$1508,'BO_-_Gráficos'!$B7, 'BO_(série)'!$A$1:$A$1508,'BO_-_Gráficos'!$L$1)/1000000</f>
        <v>0</v>
      </c>
      <c r="H7" s="491">
        <f>SUMIFS('BO_(série)'!$G$1:$G$1508, 'BO_(série)'!$E$1:$E$1508,"25", 'BO_(série)'!$B$1:$B$1508,'BO_-_Gráficos'!$B7, 'BO_(série)'!$A$1:$A$1508,'BO_-_Gráficos'!$L$2)/1000000 + SUMIFS('BO_(série)'!$G$1:$G$1508, 'BO_(série)'!$E$1:$E$1508,"27", 'BO_(série)'!$B$1:$B$1508,'BO_-_Gráficos'!$B7, 'BO_(série)'!$A$1:$A$1508,'BO_-_Gráficos'!$L$2)/1000000</f>
        <v>0</v>
      </c>
      <c r="I7" s="491">
        <f>SUMIFS('BO_(série)'!$G$1:$G$1508, 'BO_(série)'!$E$1:$E$1508,"28", 'BO_(série)'!$B$1:$B$1508,'BO_-_Gráficos'!$B7, 'BO_(série)'!$A$1:$A$1508,'BO_-_Gráficos'!$L$1)/1000000</f>
        <v>0</v>
      </c>
      <c r="J7" s="491">
        <f>SUMIFS('BO_(série)'!$G$1:$G$1508, 'BO_(série)'!$E$1:$E$1508,"28", 'BO_(série)'!$B$1:$B$1508,'BO_-_Gráficos'!$B7, 'BO_(série)'!$A$1:$A$1508,'BO_-_Gráficos'!$L$2)/1000000</f>
        <v>0</v>
      </c>
      <c r="M7" s="25" t="e">
        <f>I7/E7</f>
        <v>#DIV/0!</v>
      </c>
      <c r="N7" s="25" t="e">
        <f>E7/C7</f>
        <v>#DIV/0!</v>
      </c>
      <c r="O7" s="492"/>
      <c r="P7" s="493"/>
      <c r="Q7" s="492"/>
      <c r="S7" s="479"/>
      <c r="T7" s="479"/>
      <c r="U7" s="479"/>
      <c r="V7" s="479"/>
      <c r="W7" s="479"/>
      <c r="X7" s="479"/>
    </row>
    <row ht="12.8" outlineLevel="0" r="8" s="4" customFormat="1">
      <c r="A8" s="483" t="s">
        <v>29</v>
      </c>
      <c r="B8" s="490" t="s">
        <v>29</v>
      </c>
      <c r="C8" s="491">
        <f>SUMIFS('BO_(série)'!$G$1:$G$1508, 'BO_(série)'!$E$1:$E$1508,"13", 'BO_(série)'!$B$1:$B$1508,'BO_-_Gráficos'!$B8, 'BO_(série)'!$A$1:$A$1508,'BO_-_Gráficos'!$L$1)/1000000</f>
        <v>0</v>
      </c>
      <c r="D8" s="491">
        <f>SUMIFS('BO_(série)'!$G$1:$G$1508, 'BO_(série)'!$E$1:$E$1508,"13", 'BO_(série)'!$B$1:$B$1508,'BO_-_Gráficos'!$B8, 'BO_(série)'!$A$1:$A$1508,'BO_-_Gráficos'!$L$2)/1000000</f>
        <v>0</v>
      </c>
      <c r="E8" s="491">
        <f>SUMIFS('BO_(série)'!$G$1:$G$1508, 'BO_(série)'!$E$1:$E$1508,"23", 'BO_(série)'!$B$1:$B$1508,'BO_-_Gráficos'!$B8, 'BO_(série)'!$A$1:$A$1508,'BO_-_Gráficos'!$L$1)/1000000</f>
        <v>0</v>
      </c>
      <c r="F8" s="491">
        <f>SUMIFS('BO_(série)'!$G$1:$G$1508, 'BO_(série)'!$E$1:$E$1508,"23", 'BO_(série)'!$B$1:$B$1508,'BO_-_Gráficos'!$B8, 'BO_(série)'!$A$1:$A$1508,'BO_-_Gráficos'!$L$2)/1000000</f>
        <v>0</v>
      </c>
      <c r="G8" s="491">
        <f>SUMIFS('BO_(série)'!$G$1:$G$1508, 'BO_(série)'!$E$1:$E$1508,"25", 'BO_(série)'!$B$1:$B$1508,'BO_-_Gráficos'!$B8, 'BO_(série)'!$A$1:$A$1508,'BO_-_Gráficos'!$L$1)/1000000 + SUMIFS('BO_(série)'!$G$1:$G$1508, 'BO_(série)'!$E$1:$E$1508,"27", 'BO_(série)'!$B$1:$B$1508,'BO_-_Gráficos'!$B8, 'BO_(série)'!$A$1:$A$1508,'BO_-_Gráficos'!$L$1)/1000000</f>
        <v>0</v>
      </c>
      <c r="H8" s="491">
        <f>SUMIFS('BO_(série)'!$G$1:$G$1508, 'BO_(série)'!$E$1:$E$1508,"25", 'BO_(série)'!$B$1:$B$1508,'BO_-_Gráficos'!$B8, 'BO_(série)'!$A$1:$A$1508,'BO_-_Gráficos'!$L$2)/1000000 + SUMIFS('BO_(série)'!$G$1:$G$1508, 'BO_(série)'!$E$1:$E$1508,"27", 'BO_(série)'!$B$1:$B$1508,'BO_-_Gráficos'!$B8, 'BO_(série)'!$A$1:$A$1508,'BO_-_Gráficos'!$L$2)/1000000</f>
        <v>0</v>
      </c>
      <c r="I8" s="491">
        <f>SUMIFS('BO_(série)'!$G$1:$G$1508, 'BO_(série)'!$E$1:$E$1508,"28", 'BO_(série)'!$B$1:$B$1508,'BO_-_Gráficos'!$B8, 'BO_(série)'!$A$1:$A$1508,'BO_-_Gráficos'!$L$1)/1000000</f>
        <v>0</v>
      </c>
      <c r="J8" s="491">
        <f>SUMIFS('BO_(série)'!$G$1:$G$1508, 'BO_(série)'!$E$1:$E$1508,"28", 'BO_(série)'!$B$1:$B$1508,'BO_-_Gráficos'!$B8, 'BO_(série)'!$A$1:$A$1508,'BO_-_Gráficos'!$L$2)/1000000</f>
        <v>0</v>
      </c>
      <c r="M8" s="25" t="e">
        <f>I8/E8</f>
        <v>#DIV/0!</v>
      </c>
      <c r="N8" s="25" t="e">
        <f>E8/C8</f>
        <v>#DIV/0!</v>
      </c>
      <c r="O8" s="492"/>
      <c r="P8" s="493"/>
      <c r="Q8" s="492"/>
      <c r="S8" s="479"/>
      <c r="T8" s="479"/>
      <c r="U8" s="479"/>
      <c r="V8" s="479"/>
      <c r="W8" s="479"/>
      <c r="X8" s="479"/>
    </row>
    <row ht="12.8" outlineLevel="0" r="9" s="4" customFormat="1">
      <c r="A9" s="488" t="s">
        <v>665</v>
      </c>
      <c r="B9" s="494" t="s">
        <v>665</v>
      </c>
      <c r="C9" s="489">
        <f>+SUM(C10:C12)</f>
        <v>0</v>
      </c>
      <c r="D9" s="489">
        <f>+SUM(D10:D12)</f>
        <v>0</v>
      </c>
      <c r="E9" s="489">
        <f>+SUM(E10:E12)</f>
        <v>0</v>
      </c>
      <c r="F9" s="489">
        <f>+SUM(F10:F12)</f>
        <v>0</v>
      </c>
      <c r="G9" s="489">
        <f>SUM(G10:G12)</f>
        <v>0</v>
      </c>
      <c r="H9" s="489">
        <f>SUM(H10:H12)</f>
        <v>0</v>
      </c>
      <c r="I9" s="489">
        <f>+SUM(I10:I12)</f>
        <v>0</v>
      </c>
      <c r="J9" s="489">
        <f>+SUM(J10:J12)</f>
        <v>0</v>
      </c>
      <c r="M9" s="25" t="e">
        <f>I9/E9</f>
        <v>#DIV/0!</v>
      </c>
      <c r="N9" s="25" t="e">
        <f>E9/C9</f>
        <v>#DIV/0!</v>
      </c>
      <c r="O9" s="492"/>
      <c r="P9" s="493"/>
      <c r="Q9" s="492"/>
      <c r="S9" s="479"/>
      <c r="T9" s="479"/>
      <c r="U9" s="479"/>
      <c r="V9" s="479"/>
      <c r="W9" s="479"/>
      <c r="X9" s="479"/>
    </row>
    <row ht="12.8" outlineLevel="0" r="10" s="4" customFormat="1">
      <c r="A10" s="483" t="s">
        <v>828</v>
      </c>
      <c r="B10" s="490" t="s">
        <v>7</v>
      </c>
      <c r="C10" s="491">
        <f>SUMIFS('BO_(série)'!$G$1:$G$1508, 'BO_(série)'!$E$1:$E$1508,"13", 'BO_(série)'!$B$1:$B$1508,'BO_-_Gráficos'!$B10, 'BO_(série)'!$A$1:$A$1508,'BO_-_Gráficos'!$L$1)/1000000</f>
        <v>0</v>
      </c>
      <c r="D10" s="491">
        <f>SUMIFS('BO_(série)'!$G$1:$G$1508, 'BO_(série)'!$E$1:$E$1508,"13", 'BO_(série)'!$B$1:$B$1508,'BO_-_Gráficos'!$B10, 'BO_(série)'!$A$1:$A$1508,'BO_-_Gráficos'!$L$2)/1000000</f>
        <v>0</v>
      </c>
      <c r="E10" s="491">
        <f>SUMIFS('BO_(série)'!$G$1:$G$1508, 'BO_(série)'!$E$1:$E$1508,"23", 'BO_(série)'!$B$1:$B$1508,'BO_-_Gráficos'!$B10, 'BO_(série)'!$A$1:$A$1508,'BO_-_Gráficos'!$L$1)/1000000</f>
        <v>0</v>
      </c>
      <c r="F10" s="491">
        <f>SUMIFS('BO_(série)'!$G$1:$G$1508, 'BO_(série)'!$E$1:$E$1508,"23", 'BO_(série)'!$B$1:$B$1508,'BO_-_Gráficos'!$B10, 'BO_(série)'!$A$1:$A$1508,'BO_-_Gráficos'!$L$2)/1000000</f>
        <v>0</v>
      </c>
      <c r="G10" s="491">
        <f>SUMIFS('BO_(série)'!$G$1:$G$1508, 'BO_(série)'!$E$1:$E$1508,"25", 'BO_(série)'!$B$1:$B$1508,'BO_-_Gráficos'!$B10, 'BO_(série)'!$A$1:$A$1508,'BO_-_Gráficos'!$L$1)/1000000 + SUMIFS('BO_(série)'!$G$1:$G$1508, 'BO_(série)'!$E$1:$E$1508,"27", 'BO_(série)'!$B$1:$B$1508,'BO_-_Gráficos'!$B10, 'BO_(série)'!$A$1:$A$1508,'BO_-_Gráficos'!$L$1)/1000000</f>
        <v>0</v>
      </c>
      <c r="H10" s="491">
        <f>SUMIFS('BO_(série)'!$G$1:$G$1508, 'BO_(série)'!$E$1:$E$1508,"25", 'BO_(série)'!$B$1:$B$1508,'BO_-_Gráficos'!$B10, 'BO_(série)'!$A$1:$A$1508,'BO_-_Gráficos'!$L$2)/1000000 + SUMIFS('BO_(série)'!$G$1:$G$1508, 'BO_(série)'!$E$1:$E$1508,"27", 'BO_(série)'!$B$1:$B$1508,'BO_-_Gráficos'!$B10, 'BO_(série)'!$A$1:$A$1508,'BO_-_Gráficos'!$L$2)/1000000</f>
        <v>0</v>
      </c>
      <c r="I10" s="491">
        <f>SUMIFS('BO_(série)'!$G$1:$G$1508, 'BO_(série)'!$E$1:$E$1508,"28", 'BO_(série)'!$B$1:$B$1508,'BO_-_Gráficos'!$B10, 'BO_(série)'!$A$1:$A$1508,'BO_-_Gráficos'!$L$1)/1000000</f>
        <v>0</v>
      </c>
      <c r="J10" s="491">
        <f>SUMIFS('BO_(série)'!$G$1:$G$1508, 'BO_(série)'!$E$1:$E$1508,"28", 'BO_(série)'!$B$1:$B$1508,'BO_-_Gráficos'!$B10, 'BO_(série)'!$A$1:$A$1508,'BO_-_Gráficos'!$L$2)/1000000</f>
        <v>0</v>
      </c>
      <c r="M10" s="25" t="e">
        <f>I10/E10</f>
        <v>#DIV/0!</v>
      </c>
      <c r="N10" s="25" t="e">
        <f>E10/C10</f>
        <v>#DIV/0!</v>
      </c>
      <c r="O10" s="492"/>
      <c r="P10" s="493"/>
      <c r="Q10" s="492"/>
      <c r="S10" s="479"/>
      <c r="T10" s="479"/>
      <c r="U10" s="479"/>
      <c r="V10" s="479"/>
      <c r="W10" s="479"/>
      <c r="X10" s="479"/>
    </row>
    <row ht="12.8" outlineLevel="0" r="11" s="4" customFormat="1">
      <c r="A11" s="483" t="s">
        <v>12</v>
      </c>
      <c r="B11" s="490" t="s">
        <v>12</v>
      </c>
      <c r="C11" s="491">
        <f>SUMIFS('BO_(série)'!$G$1:$G$1508, 'BO_(série)'!$E$1:$E$1508,"13", 'BO_(série)'!$B$1:$B$1508,'BO_-_Gráficos'!$B11, 'BO_(série)'!$A$1:$A$1508,'BO_-_Gráficos'!$L$1)/1000000</f>
        <v>0</v>
      </c>
      <c r="D11" s="491">
        <f>SUMIFS('BO_(série)'!$G$1:$G$1508, 'BO_(série)'!$E$1:$E$1508,"13", 'BO_(série)'!$B$1:$B$1508,'BO_-_Gráficos'!$B11, 'BO_(série)'!$A$1:$A$1508,'BO_-_Gráficos'!$L$2)/1000000</f>
        <v>0</v>
      </c>
      <c r="E11" s="491">
        <f>SUMIFS('BO_(série)'!$G$1:$G$1508, 'BO_(série)'!$E$1:$E$1508,"23", 'BO_(série)'!$B$1:$B$1508,'BO_-_Gráficos'!$B11, 'BO_(série)'!$A$1:$A$1508,'BO_-_Gráficos'!$L$1)/1000000</f>
        <v>0</v>
      </c>
      <c r="F11" s="491">
        <f>SUMIFS('BO_(série)'!$G$1:$G$1508, 'BO_(série)'!$E$1:$E$1508,"23", 'BO_(série)'!$B$1:$B$1508,'BO_-_Gráficos'!$B11, 'BO_(série)'!$A$1:$A$1508,'BO_-_Gráficos'!$L$2)/1000000</f>
        <v>0</v>
      </c>
      <c r="G11" s="491">
        <f>SUMIFS('BO_(série)'!$G$1:$G$1508, 'BO_(série)'!$E$1:$E$1508,"25", 'BO_(série)'!$B$1:$B$1508,'BO_-_Gráficos'!$B11, 'BO_(série)'!$A$1:$A$1508,'BO_-_Gráficos'!$L$1)/1000000 + SUMIFS('BO_(série)'!$G$1:$G$1508, 'BO_(série)'!$E$1:$E$1508,"27", 'BO_(série)'!$B$1:$B$1508,'BO_-_Gráficos'!$B11, 'BO_(série)'!$A$1:$A$1508,'BO_-_Gráficos'!$L$1)/1000000</f>
        <v>0</v>
      </c>
      <c r="H11" s="491">
        <f>SUMIFS('BO_(série)'!$G$1:$G$1508, 'BO_(série)'!$E$1:$E$1508,"25", 'BO_(série)'!$B$1:$B$1508,'BO_-_Gráficos'!$B11, 'BO_(série)'!$A$1:$A$1508,'BO_-_Gráficos'!$L$2)/1000000 + SUMIFS('BO_(série)'!$G$1:$G$1508, 'BO_(série)'!$E$1:$E$1508,"27", 'BO_(série)'!$B$1:$B$1508,'BO_-_Gráficos'!$B11, 'BO_(série)'!$A$1:$A$1508,'BO_-_Gráficos'!$L$2)/1000000</f>
        <v>0</v>
      </c>
      <c r="I11" s="491">
        <f>SUMIFS('BO_(série)'!$G$1:$G$1508, 'BO_(série)'!$E$1:$E$1508,"28", 'BO_(série)'!$B$1:$B$1508,'BO_-_Gráficos'!$B11, 'BO_(série)'!$A$1:$A$1508,'BO_-_Gráficos'!$L$1)/1000000</f>
        <v>0</v>
      </c>
      <c r="J11" s="491">
        <f>SUMIFS('BO_(série)'!$G$1:$G$1508, 'BO_(série)'!$E$1:$E$1508,"28", 'BO_(série)'!$B$1:$B$1508,'BO_-_Gráficos'!$B11, 'BO_(série)'!$A$1:$A$1508,'BO_-_Gráficos'!$L$2)/1000000</f>
        <v>0</v>
      </c>
      <c r="M11" s="25" t="e">
        <f>I11/E11</f>
        <v>#DIV/0!</v>
      </c>
      <c r="N11" s="25" t="e">
        <f>E11/C11</f>
        <v>#DIV/0!</v>
      </c>
      <c r="O11" s="492"/>
      <c r="P11" s="493"/>
      <c r="Q11" s="492"/>
      <c r="S11" s="479"/>
      <c r="T11" s="479"/>
      <c r="U11" s="479"/>
      <c r="V11" s="479"/>
      <c r="W11" s="479"/>
      <c r="X11" s="479"/>
    </row>
    <row ht="12.8" outlineLevel="0" r="12" s="4" customFormat="1">
      <c r="A12" s="483" t="s">
        <v>13</v>
      </c>
      <c r="B12" s="490" t="s">
        <v>13</v>
      </c>
      <c r="C12" s="491">
        <f>SUMIFS('BO_(série)'!$G$1:$G$1508, 'BO_(série)'!$E$1:$E$1508,"13", 'BO_(série)'!$B$1:$B$1508,'BO_-_Gráficos'!$B12, 'BO_(série)'!$A$1:$A$1508,'BO_-_Gráficos'!$L$1)/1000000</f>
        <v>0</v>
      </c>
      <c r="D12" s="491">
        <f>SUMIFS('BO_(série)'!$G$1:$G$1508, 'BO_(série)'!$E$1:$E$1508,"13", 'BO_(série)'!$B$1:$B$1508,'BO_-_Gráficos'!$B12, 'BO_(série)'!$A$1:$A$1508,'BO_-_Gráficos'!$L$2)/1000000</f>
        <v>0</v>
      </c>
      <c r="E12" s="491">
        <f>SUMIFS('BO_(série)'!$G$1:$G$1508, 'BO_(série)'!$E$1:$E$1508,"23", 'BO_(série)'!$B$1:$B$1508,'BO_-_Gráficos'!$B12, 'BO_(série)'!$A$1:$A$1508,'BO_-_Gráficos'!$L$1)/1000000</f>
        <v>0</v>
      </c>
      <c r="F12" s="491">
        <f>SUMIFS('BO_(série)'!$G$1:$G$1508, 'BO_(série)'!$E$1:$E$1508,"23", 'BO_(série)'!$B$1:$B$1508,'BO_-_Gráficos'!$B12, 'BO_(série)'!$A$1:$A$1508,'BO_-_Gráficos'!$L$2)/1000000</f>
        <v>0</v>
      </c>
      <c r="G12" s="491">
        <f>SUMIFS('BO_(série)'!$G$1:$G$1508, 'BO_(série)'!$E$1:$E$1508,"25", 'BO_(série)'!$B$1:$B$1508,'BO_-_Gráficos'!$B12, 'BO_(série)'!$A$1:$A$1508,'BO_-_Gráficos'!$L$1)/1000000 + SUMIFS('BO_(série)'!$G$1:$G$1508, 'BO_(série)'!$E$1:$E$1508,"27", 'BO_(série)'!$B$1:$B$1508,'BO_-_Gráficos'!$B12, 'BO_(série)'!$A$1:$A$1508,'BO_-_Gráficos'!$L$1)/1000000</f>
        <v>0</v>
      </c>
      <c r="H12" s="491">
        <f>SUMIFS('BO_(série)'!$G$1:$G$1508, 'BO_(série)'!$E$1:$E$1508,"25", 'BO_(série)'!$B$1:$B$1508,'BO_-_Gráficos'!$B12, 'BO_(série)'!$A$1:$A$1508,'BO_-_Gráficos'!$L$2)/1000000 + SUMIFS('BO_(série)'!$G$1:$G$1508, 'BO_(série)'!$E$1:$E$1508,"27", 'BO_(série)'!$B$1:$B$1508,'BO_-_Gráficos'!$B12, 'BO_(série)'!$A$1:$A$1508,'BO_-_Gráficos'!$L$2)/1000000</f>
        <v>0</v>
      </c>
      <c r="I12" s="491">
        <f>SUMIFS('BO_(série)'!$G$1:$G$1508, 'BO_(série)'!$E$1:$E$1508,"28", 'BO_(série)'!$B$1:$B$1508,'BO_-_Gráficos'!$B12, 'BO_(série)'!$A$1:$A$1508,'BO_-_Gráficos'!$L$1)/1000000</f>
        <v>0</v>
      </c>
      <c r="J12" s="491">
        <f>SUMIFS('BO_(série)'!$G$1:$G$1508, 'BO_(série)'!$E$1:$E$1508,"28", 'BO_(série)'!$B$1:$B$1508,'BO_-_Gráficos'!$B12, 'BO_(série)'!$A$1:$A$1508,'BO_-_Gráficos'!$L$2)/1000000</f>
        <v>0</v>
      </c>
      <c r="M12" s="25" t="e">
        <f>I12/E12</f>
        <v>#DIV/0!</v>
      </c>
      <c r="N12" s="25" t="e">
        <f>E12/C12</f>
        <v>#DIV/0!</v>
      </c>
      <c r="O12" s="492"/>
      <c r="P12" s="493"/>
      <c r="Q12" s="492"/>
      <c r="S12" s="479"/>
      <c r="T12" s="479"/>
      <c r="U12" s="479"/>
      <c r="V12" s="479"/>
      <c r="W12" s="479"/>
      <c r="X12" s="479"/>
    </row>
    <row ht="12.8" outlineLevel="0" r="13" s="4" customFormat="1">
      <c r="A13" s="488" t="s">
        <v>829</v>
      </c>
      <c r="B13" s="495"/>
      <c r="C13" s="496">
        <f>SUM(C14:C17)</f>
        <v>0</v>
      </c>
      <c r="D13" s="496">
        <f>SUM(D14:D17)</f>
        <v>0</v>
      </c>
      <c r="E13" s="496">
        <f>SUM(E14:E17)</f>
        <v>0</v>
      </c>
      <c r="F13" s="496">
        <f>SUM(F14:F17)</f>
        <v>0</v>
      </c>
      <c r="G13" s="496">
        <f>SUM(G14:G17)</f>
        <v>0</v>
      </c>
      <c r="H13" s="496">
        <f>SUM(H14:H17)</f>
        <v>0</v>
      </c>
      <c r="I13" s="496">
        <f>SUM(I14:I17)</f>
        <v>0</v>
      </c>
      <c r="J13" s="496">
        <f>SUM(J14:J17)</f>
        <v>0</v>
      </c>
      <c r="M13" s="25" t="e">
        <f>I13/E13</f>
        <v>#DIV/0!</v>
      </c>
      <c r="N13" s="25" t="e">
        <f>E13/C13</f>
        <v>#DIV/0!</v>
      </c>
      <c r="O13" s="492"/>
      <c r="P13" s="493"/>
      <c r="Q13" s="492"/>
      <c r="S13" s="479"/>
      <c r="T13" s="479"/>
      <c r="U13" s="479"/>
      <c r="V13" s="479"/>
      <c r="W13" s="479"/>
      <c r="X13" s="479"/>
    </row>
    <row ht="12.8" outlineLevel="0" r="14" s="4" customFormat="1">
      <c r="A14" s="483" t="s">
        <v>32</v>
      </c>
      <c r="B14" s="490" t="s">
        <v>32</v>
      </c>
      <c r="C14" s="491">
        <f>SUMIFS('BO_(série)'!$G$1:$G$1508, 'BO_(série)'!$E$1:$E$1508,"13", 'BO_(série)'!$B$1:$B$1508,'BO_-_Gráficos'!$B14, 'BO_(série)'!$A$1:$A$1508,'BO_-_Gráficos'!$L$1)/1000000</f>
        <v>0</v>
      </c>
      <c r="D14" s="491">
        <f>SUMIFS('BO_(série)'!$G$1:$G$1508, 'BO_(série)'!$E$1:$E$1508,"13", 'BO_(série)'!$B$1:$B$1508,'BO_-_Gráficos'!$B14, 'BO_(série)'!$A$1:$A$1508,'BO_-_Gráficos'!$L$2)/1000000</f>
        <v>0</v>
      </c>
      <c r="E14" s="491">
        <f>SUMIFS('BO_(série)'!$G$1:$G$1508, 'BO_(série)'!$E$1:$E$1508,"23", 'BO_(série)'!$B$1:$B$1508,'BO_-_Gráficos'!$B14, 'BO_(série)'!$A$1:$A$1508,'BO_-_Gráficos'!$L$1)/1000000</f>
        <v>0</v>
      </c>
      <c r="F14" s="491">
        <f>SUMIFS('BO_(série)'!$G$1:$G$1508, 'BO_(série)'!$E$1:$E$1508,"23", 'BO_(série)'!$B$1:$B$1508,'BO_-_Gráficos'!$B14, 'BO_(série)'!$A$1:$A$1508,'BO_-_Gráficos'!$L$2)/1000000</f>
        <v>0</v>
      </c>
      <c r="G14" s="491">
        <f>SUMIFS('BO_(série)'!$G$1:$G$1508, 'BO_(série)'!$E$1:$E$1508,"25", 'BO_(série)'!$B$1:$B$1508,'BO_-_Gráficos'!$B14, 'BO_(série)'!$A$1:$A$1508,'BO_-_Gráficos'!$L$1)/1000000 + SUMIFS('BO_(série)'!$G$1:$G$1508, 'BO_(série)'!$E$1:$E$1508,"27", 'BO_(série)'!$B$1:$B$1508,'BO_-_Gráficos'!$B14, 'BO_(série)'!$A$1:$A$1508,'BO_-_Gráficos'!$L$1)/1000000</f>
        <v>0</v>
      </c>
      <c r="H14" s="491">
        <f>SUMIFS('BO_(série)'!$G$1:$G$1508, 'BO_(série)'!$E$1:$E$1508,"25", 'BO_(série)'!$B$1:$B$1508,'BO_-_Gráficos'!$B14, 'BO_(série)'!$A$1:$A$1508,'BO_-_Gráficos'!$L$2)/1000000 + SUMIFS('BO_(série)'!$G$1:$G$1508, 'BO_(série)'!$E$1:$E$1508,"27", 'BO_(série)'!$B$1:$B$1508,'BO_-_Gráficos'!$B14, 'BO_(série)'!$A$1:$A$1508,'BO_-_Gráficos'!$L$2)/1000000</f>
        <v>0</v>
      </c>
      <c r="I14" s="491">
        <f>SUMIFS('BO_(série)'!$G$1:$G$1508, 'BO_(série)'!$E$1:$E$1508,"28", 'BO_(série)'!$B$1:$B$1508,'BO_-_Gráficos'!$B14, 'BO_(série)'!$A$1:$A$1508,'BO_-_Gráficos'!$L$1)/1000000</f>
        <v>0</v>
      </c>
      <c r="J14" s="491">
        <f>SUMIFS('BO_(série)'!$G$1:$G$1508, 'BO_(série)'!$E$1:$E$1508,"28", 'BO_(série)'!$B$1:$B$1508,'BO_-_Gráficos'!$B14, 'BO_(série)'!$A$1:$A$1508,'BO_-_Gráficos'!$L$2)/1000000</f>
        <v>0</v>
      </c>
      <c r="M14" s="25" t="e">
        <f>I14/E14</f>
        <v>#DIV/0!</v>
      </c>
      <c r="N14" s="25" t="e">
        <f>E14/C14</f>
        <v>#DIV/0!</v>
      </c>
      <c r="O14" s="492"/>
      <c r="P14" s="493"/>
      <c r="Q14" s="492"/>
      <c r="S14" s="479"/>
      <c r="T14" s="479"/>
      <c r="U14" s="479"/>
      <c r="V14" s="479"/>
      <c r="W14" s="479"/>
      <c r="X14" s="479"/>
    </row>
    <row ht="12.8" outlineLevel="0" r="15" s="4" customFormat="1">
      <c r="A15" s="483" t="s">
        <v>35</v>
      </c>
      <c r="B15" s="490" t="s">
        <v>35</v>
      </c>
      <c r="C15" s="491">
        <f>SUMIFS('BO_(série)'!$G$1:$G$1508, 'BO_(série)'!$E$1:$E$1508,"13", 'BO_(série)'!$B$1:$B$1508,'BO_-_Gráficos'!$B15, 'BO_(série)'!$A$1:$A$1508,'BO_-_Gráficos'!$L$1)/1000000</f>
        <v>0</v>
      </c>
      <c r="D15" s="491">
        <f>SUMIFS('BO_(série)'!$G$1:$G$1508, 'BO_(série)'!$E$1:$E$1508,"13", 'BO_(série)'!$B$1:$B$1508,'BO_-_Gráficos'!$B15, 'BO_(série)'!$A$1:$A$1508,'BO_-_Gráficos'!$L$2)/1000000</f>
        <v>0</v>
      </c>
      <c r="E15" s="491">
        <f>SUMIFS('BO_(série)'!$G$1:$G$1508, 'BO_(série)'!$E$1:$E$1508,"23", 'BO_(série)'!$B$1:$B$1508,'BO_-_Gráficos'!$B15, 'BO_(série)'!$A$1:$A$1508,'BO_-_Gráficos'!$L$1)/1000000</f>
        <v>0</v>
      </c>
      <c r="F15" s="491">
        <f>SUMIFS('BO_(série)'!$G$1:$G$1508, 'BO_(série)'!$E$1:$E$1508,"23", 'BO_(série)'!$B$1:$B$1508,'BO_-_Gráficos'!$B15, 'BO_(série)'!$A$1:$A$1508,'BO_-_Gráficos'!$L$2)/1000000</f>
        <v>0</v>
      </c>
      <c r="G15" s="491">
        <f>SUMIFS('BO_(série)'!$G$1:$G$1508, 'BO_(série)'!$E$1:$E$1508,"25", 'BO_(série)'!$B$1:$B$1508,'BO_-_Gráficos'!$B15, 'BO_(série)'!$A$1:$A$1508,'BO_-_Gráficos'!$L$1)/1000000 + SUMIFS('BO_(série)'!$G$1:$G$1508, 'BO_(série)'!$E$1:$E$1508,"27", 'BO_(série)'!$B$1:$B$1508,'BO_-_Gráficos'!$B15, 'BO_(série)'!$A$1:$A$1508,'BO_-_Gráficos'!$L$1)/1000000</f>
        <v>0</v>
      </c>
      <c r="H15" s="491">
        <f>SUMIFS('BO_(série)'!$G$1:$G$1508, 'BO_(série)'!$E$1:$E$1508,"25", 'BO_(série)'!$B$1:$B$1508,'BO_-_Gráficos'!$B15, 'BO_(série)'!$A$1:$A$1508,'BO_-_Gráficos'!$L$2)/1000000 + SUMIFS('BO_(série)'!$G$1:$G$1508, 'BO_(série)'!$E$1:$E$1508,"27", 'BO_(série)'!$B$1:$B$1508,'BO_-_Gráficos'!$B15, 'BO_(série)'!$A$1:$A$1508,'BO_-_Gráficos'!$L$2)/1000000</f>
        <v>0</v>
      </c>
      <c r="I15" s="491">
        <f>SUMIFS('BO_(série)'!$G$1:$G$1508, 'BO_(série)'!$E$1:$E$1508,"28", 'BO_(série)'!$B$1:$B$1508,'BO_-_Gráficos'!$B15, 'BO_(série)'!$A$1:$A$1508,'BO_-_Gráficos'!$L$1)/1000000</f>
        <v>0</v>
      </c>
      <c r="J15" s="491">
        <f>SUMIFS('BO_(série)'!$G$1:$G$1508, 'BO_(série)'!$E$1:$E$1508,"28", 'BO_(série)'!$B$1:$B$1508,'BO_-_Gráficos'!$B15, 'BO_(série)'!$A$1:$A$1508,'BO_-_Gráficos'!$L$2)/1000000</f>
        <v>0</v>
      </c>
      <c r="M15" s="25" t="e">
        <f>I15/E15</f>
        <v>#DIV/0!</v>
      </c>
      <c r="N15" s="25" t="e">
        <f>E15/C15</f>
        <v>#DIV/0!</v>
      </c>
      <c r="O15" s="492"/>
      <c r="P15" s="493"/>
      <c r="Q15" s="492"/>
      <c r="S15" s="479"/>
      <c r="T15" s="479"/>
      <c r="U15" s="479"/>
      <c r="V15" s="479"/>
      <c r="W15" s="479"/>
      <c r="X15" s="479"/>
    </row>
    <row ht="12.8" outlineLevel="0" r="16" s="4" customFormat="1">
      <c r="A16" s="483" t="s">
        <v>22</v>
      </c>
      <c r="B16" s="490" t="s">
        <v>22</v>
      </c>
      <c r="C16" s="491">
        <f>SUMIFS('BO_(série)'!$G$1:$G$1508, 'BO_(série)'!$E$1:$E$1508,"13", 'BO_(série)'!$B$1:$B$1508,'BO_-_Gráficos'!$B16, 'BO_(série)'!$A$1:$A$1508,'BO_-_Gráficos'!$L$1)/1000000</f>
        <v>0</v>
      </c>
      <c r="D16" s="491">
        <f>SUMIFS('BO_(série)'!$G$1:$G$1508, 'BO_(série)'!$E$1:$E$1508,"13", 'BO_(série)'!$B$1:$B$1508,'BO_-_Gráficos'!$B16, 'BO_(série)'!$A$1:$A$1508,'BO_-_Gráficos'!$L$2)/1000000</f>
        <v>0</v>
      </c>
      <c r="E16" s="491">
        <f>SUMIFS('BO_(série)'!$G$1:$G$1508, 'BO_(série)'!$E$1:$E$1508,"23", 'BO_(série)'!$B$1:$B$1508,'BO_-_Gráficos'!$B16, 'BO_(série)'!$A$1:$A$1508,'BO_-_Gráficos'!$L$1)/1000000</f>
        <v>0</v>
      </c>
      <c r="F16" s="491">
        <f>SUMIFS('BO_(série)'!$G$1:$G$1508, 'BO_(série)'!$E$1:$E$1508,"23", 'BO_(série)'!$B$1:$B$1508,'BO_-_Gráficos'!$B16, 'BO_(série)'!$A$1:$A$1508,'BO_-_Gráficos'!$L$2)/1000000</f>
        <v>0</v>
      </c>
      <c r="G16" s="491">
        <f>SUMIFS('BO_(série)'!$G$1:$G$1508, 'BO_(série)'!$E$1:$E$1508,"25", 'BO_(série)'!$B$1:$B$1508,'BO_-_Gráficos'!$B16, 'BO_(série)'!$A$1:$A$1508,'BO_-_Gráficos'!$L$1)/1000000 + SUMIFS('BO_(série)'!$G$1:$G$1508, 'BO_(série)'!$E$1:$E$1508,"27", 'BO_(série)'!$B$1:$B$1508,'BO_-_Gráficos'!$B16, 'BO_(série)'!$A$1:$A$1508,'BO_-_Gráficos'!$L$1)/1000000</f>
        <v>0</v>
      </c>
      <c r="H16" s="491">
        <f>SUMIFS('BO_(série)'!$G$1:$G$1508, 'BO_(série)'!$E$1:$E$1508,"25", 'BO_(série)'!$B$1:$B$1508,'BO_-_Gráficos'!$B16, 'BO_(série)'!$A$1:$A$1508,'BO_-_Gráficos'!$L$2)/1000000 + SUMIFS('BO_(série)'!$G$1:$G$1508, 'BO_(série)'!$E$1:$E$1508,"27", 'BO_(série)'!$B$1:$B$1508,'BO_-_Gráficos'!$B16, 'BO_(série)'!$A$1:$A$1508,'BO_-_Gráficos'!$L$2)/1000000</f>
        <v>0</v>
      </c>
      <c r="I16" s="491">
        <f>SUMIFS('BO_(série)'!$G$1:$G$1508, 'BO_(série)'!$E$1:$E$1508,"28", 'BO_(série)'!$B$1:$B$1508,'BO_-_Gráficos'!$B16, 'BO_(série)'!$A$1:$A$1508,'BO_-_Gráficos'!$L$1)/1000000</f>
        <v>0</v>
      </c>
      <c r="J16" s="491">
        <f>SUMIFS('BO_(série)'!$G$1:$G$1508, 'BO_(série)'!$E$1:$E$1508,"28", 'BO_(série)'!$B$1:$B$1508,'BO_-_Gráficos'!$B16, 'BO_(série)'!$A$1:$A$1508,'BO_-_Gráficos'!$L$2)/1000000</f>
        <v>0</v>
      </c>
      <c r="M16" s="25" t="e">
        <f>I16/E16</f>
        <v>#DIV/0!</v>
      </c>
      <c r="N16" s="25" t="e">
        <f>E16/C16</f>
        <v>#DIV/0!</v>
      </c>
      <c r="O16" s="492"/>
      <c r="P16" s="493"/>
      <c r="Q16" s="492"/>
      <c r="S16" s="479"/>
      <c r="T16" s="479"/>
      <c r="U16" s="479"/>
      <c r="V16" s="479"/>
      <c r="W16" s="479"/>
      <c r="X16" s="479"/>
    </row>
    <row ht="12.8" outlineLevel="0" r="17" s="4" customFormat="1">
      <c r="A17" s="483" t="s">
        <v>25</v>
      </c>
      <c r="B17" s="490" t="s">
        <v>25</v>
      </c>
      <c r="C17" s="491">
        <f>SUMIFS('BO_(série)'!$G$1:$G$1508, 'BO_(série)'!$E$1:$E$1508,"13", 'BO_(série)'!$B$1:$B$1508,'BO_-_Gráficos'!$B17, 'BO_(série)'!$A$1:$A$1508,'BO_-_Gráficos'!$L$1)/1000000</f>
        <v>0</v>
      </c>
      <c r="D17" s="491">
        <f>SUMIFS('BO_(série)'!$G$1:$G$1508, 'BO_(série)'!$E$1:$E$1508,"13", 'BO_(série)'!$B$1:$B$1508,'BO_-_Gráficos'!$B17, 'BO_(série)'!$A$1:$A$1508,'BO_-_Gráficos'!$L$2)/1000000</f>
        <v>0</v>
      </c>
      <c r="E17" s="491">
        <f>SUMIFS('BO_(série)'!$G$1:$G$1508, 'BO_(série)'!$E$1:$E$1508,"23", 'BO_(série)'!$B$1:$B$1508,'BO_-_Gráficos'!$B17, 'BO_(série)'!$A$1:$A$1508,'BO_-_Gráficos'!$L$1)/1000000</f>
        <v>0</v>
      </c>
      <c r="F17" s="491">
        <f>SUMIFS('BO_(série)'!$G$1:$G$1508, 'BO_(série)'!$E$1:$E$1508,"23", 'BO_(série)'!$B$1:$B$1508,'BO_-_Gráficos'!$B17, 'BO_(série)'!$A$1:$A$1508,'BO_-_Gráficos'!$L$2)/1000000</f>
        <v>0</v>
      </c>
      <c r="G17" s="491">
        <f>SUMIFS('BO_(série)'!$G$1:$G$1508, 'BO_(série)'!$E$1:$E$1508,"25", 'BO_(série)'!$B$1:$B$1508,'BO_-_Gráficos'!$B17, 'BO_(série)'!$A$1:$A$1508,'BO_-_Gráficos'!$L$1)/1000000 + SUMIFS('BO_(série)'!$G$1:$G$1508, 'BO_(série)'!$E$1:$E$1508,"27", 'BO_(série)'!$B$1:$B$1508,'BO_-_Gráficos'!$B17, 'BO_(série)'!$A$1:$A$1508,'BO_-_Gráficos'!$L$1)/1000000</f>
        <v>0</v>
      </c>
      <c r="H17" s="491">
        <f>SUMIFS('BO_(série)'!$G$1:$G$1508, 'BO_(série)'!$E$1:$E$1508,"25", 'BO_(série)'!$B$1:$B$1508,'BO_-_Gráficos'!$B17, 'BO_(série)'!$A$1:$A$1508,'BO_-_Gráficos'!$L$2)/1000000 + SUMIFS('BO_(série)'!$G$1:$G$1508, 'BO_(série)'!$E$1:$E$1508,"27", 'BO_(série)'!$B$1:$B$1508,'BO_-_Gráficos'!$B17, 'BO_(série)'!$A$1:$A$1508,'BO_-_Gráficos'!$L$2)/1000000</f>
        <v>0</v>
      </c>
      <c r="I17" s="491">
        <f>SUMIFS('BO_(série)'!$G$1:$G$1508, 'BO_(série)'!$E$1:$E$1508,"28", 'BO_(série)'!$B$1:$B$1508,'BO_-_Gráficos'!$B17, 'BO_(série)'!$A$1:$A$1508,'BO_-_Gráficos'!$L$1)/1000000</f>
        <v>0</v>
      </c>
      <c r="J17" s="491">
        <f>SUMIFS('BO_(série)'!$G$1:$G$1508, 'BO_(série)'!$E$1:$E$1508,"28", 'BO_(série)'!$B$1:$B$1508,'BO_-_Gráficos'!$B17, 'BO_(série)'!$A$1:$A$1508,'BO_-_Gráficos'!$L$2)/1000000</f>
        <v>0</v>
      </c>
      <c r="M17" s="25" t="e">
        <f>I17/E17</f>
        <v>#DIV/0!</v>
      </c>
      <c r="N17" s="25" t="e">
        <f>E17/C17</f>
        <v>#DIV/0!</v>
      </c>
      <c r="O17" s="492"/>
      <c r="P17" s="493"/>
      <c r="Q17" s="492"/>
      <c r="S17" s="479"/>
      <c r="T17" s="479"/>
      <c r="U17" s="479"/>
      <c r="V17" s="479"/>
      <c r="W17" s="479"/>
      <c r="X17" s="479"/>
    </row>
    <row ht="12.8" outlineLevel="0" r="18" s="4" customFormat="1">
      <c r="A18" s="488" t="s">
        <v>38</v>
      </c>
      <c r="B18" s="494" t="s">
        <v>38</v>
      </c>
      <c r="C18" s="489">
        <f>SUMIFS('BO_(série)'!$G$1:$G$1508, 'BO_(série)'!$E$1:$E$1508,"13", 'BO_(série)'!$B$1:$B$1508,'BO_-_Gráficos'!$B18, 'BO_(série)'!$A$1:$A$1508,'BO_-_Gráficos'!$L$1)/1000000</f>
        <v>0</v>
      </c>
      <c r="D18" s="489">
        <f>SUMIFS('BO_(série)'!$G$1:$G$1508, 'BO_(série)'!$E$1:$E$1508,"13", 'BO_(série)'!$B$1:$B$1508,'BO_-_Gráficos'!$B18, 'BO_(série)'!$A$1:$A$1508,'BO_-_Gráficos'!$L$2)/1000000</f>
        <v>0</v>
      </c>
      <c r="E18" s="489">
        <f>SUMIFS('BO_(série)'!$G$1:$G$1508, 'BO_(série)'!$E$1:$E$1508,"23", 'BO_(série)'!$B$1:$B$1508,'BO_-_Gráficos'!$B18, 'BO_(série)'!$A$1:$A$1508,'BO_-_Gráficos'!$L$1)/1000000</f>
        <v>0</v>
      </c>
      <c r="F18" s="489">
        <f>SUMIFS('BO_(série)'!$G$1:$G$1508, 'BO_(série)'!$E$1:$E$1508,"23", 'BO_(série)'!$B$1:$B$1508,'BO_-_Gráficos'!$B18, 'BO_(série)'!$A$1:$A$1508,'BO_-_Gráficos'!$L$2)/1000000</f>
        <v>0</v>
      </c>
      <c r="G18" s="489">
        <f>SUMIFS('BO_(série)'!$G$1:$G$1508, 'BO_(série)'!$E$1:$E$1508,"25", 'BO_(série)'!$B$1:$B$1508,'BO_-_Gráficos'!$B18, 'BO_(série)'!$A$1:$A$1508,'BO_-_Gráficos'!$L$1)/1000000</f>
        <v>0</v>
      </c>
      <c r="H18" s="489">
        <f>SUMIFS('BO_(série)'!$G$1:$G$1508, 'BO_(série)'!$E$1:$E$1508,"25", 'BO_(série)'!$B$1:$B$1508,'BO_-_Gráficos'!$B18, 'BO_(série)'!$A$1:$A$1508,'BO_-_Gráficos'!$L$2)/1000000 + SUMIFS('BO_(série)'!$G$1:$G$1508, 'BO_(série)'!$E$1:$E$1508,"27", 'BO_(série)'!$B$1:$B$1508,'BO_-_Gráficos'!$B18, 'BO_(série)'!$A$1:$A$1508,'BO_-_Gráficos'!$L$2)/1000000</f>
        <v>0</v>
      </c>
      <c r="I18" s="489">
        <f>SUMIFS('BO_(série)'!$G$1:$G$1508, 'BO_(série)'!$E$1:$E$1508,"28", 'BO_(série)'!$B$1:$B$1508,'BO_-_Gráficos'!$B18, 'BO_(série)'!$A$1:$A$1508,'BO_-_Gráficos'!$L$1)/1000000</f>
        <v>0</v>
      </c>
      <c r="J18" s="489">
        <f>SUMIFS('BO_(série)'!$G$1:$G$1508, 'BO_(série)'!$E$1:$E$1508,"28", 'BO_(série)'!$B$1:$B$1508,'BO_-_Gráficos'!$B18, 'BO_(série)'!$A$1:$A$1508,'BO_-_Gráficos'!$L$2)/1000000</f>
        <v>0</v>
      </c>
      <c r="S18" s="479"/>
      <c r="T18" s="479"/>
      <c r="U18" s="479"/>
      <c r="V18" s="479"/>
      <c r="W18" s="479"/>
      <c r="X18" s="479"/>
    </row>
    <row ht="15" outlineLevel="0" r="54">
      <c r="A54" s="497"/>
      <c r="B54" s="497"/>
      <c r="C54" s="497"/>
      <c r="D54" s="497"/>
      <c r="E54" s="497"/>
      <c r="F54" s="497"/>
      <c r="G54" s="497"/>
      <c r="H54" s="497"/>
      <c r="I54" s="497"/>
      <c r="J54" s="497"/>
      <c r="K54" s="497"/>
      <c r="L54" s="497"/>
    </row>
    <row ht="15" outlineLevel="0" r="55">
      <c r="A55" s="497"/>
      <c r="B55" s="497"/>
      <c r="C55" s="497"/>
      <c r="D55" s="497"/>
      <c r="E55" s="497"/>
      <c r="F55" s="497"/>
      <c r="G55" s="497"/>
      <c r="H55" s="497"/>
      <c r="I55" s="497"/>
      <c r="J55" s="497"/>
      <c r="K55" s="497"/>
      <c r="L55" s="497"/>
    </row>
    <row ht="15" outlineLevel="0" r="56">
      <c r="A56" s="497"/>
      <c r="B56" s="497"/>
      <c r="C56" s="498" t="e">
        <f>C4</f>
        <v>#NAME?</v>
      </c>
      <c r="D56" s="498"/>
      <c r="E56" s="499">
        <f>C5</f>
        <v>0</v>
      </c>
      <c r="F56" s="500"/>
      <c r="G56" s="500"/>
      <c r="H56" s="500"/>
      <c r="I56" s="497"/>
      <c r="J56" s="497"/>
      <c r="K56" s="501">
        <f>D5</f>
        <v>0</v>
      </c>
      <c r="L56" s="497"/>
    </row>
    <row ht="15" outlineLevel="0" r="57">
      <c r="A57" s="497"/>
      <c r="B57" s="497"/>
      <c r="C57" s="502" t="str">
        <f>E3</f>
        <v>Empenhado</v>
      </c>
      <c r="D57" s="502"/>
      <c r="E57" s="503">
        <f>E5</f>
        <v>0</v>
      </c>
      <c r="F57" s="500"/>
      <c r="G57" s="500"/>
      <c r="H57" s="500"/>
      <c r="I57" s="497"/>
      <c r="J57" s="497"/>
      <c r="K57" s="504">
        <f>F5</f>
        <v>0</v>
      </c>
      <c r="L57" s="497"/>
    </row>
    <row ht="15" outlineLevel="0" r="58">
      <c r="A58" s="497"/>
      <c r="B58" s="497"/>
      <c r="C58" s="502" t="s">
        <v>830</v>
      </c>
      <c r="D58" s="502"/>
      <c r="E58" s="503">
        <f>G5</f>
        <v>0</v>
      </c>
      <c r="F58" s="500"/>
      <c r="G58" s="500"/>
      <c r="H58" s="500"/>
      <c r="I58" s="497"/>
      <c r="J58" s="497"/>
      <c r="K58" s="504">
        <f>J5</f>
        <v>0</v>
      </c>
      <c r="L58" s="497"/>
    </row>
    <row ht="15" outlineLevel="0" r="59">
      <c r="A59" s="497"/>
      <c r="B59" s="497"/>
      <c r="C59" s="505" t="str">
        <f>I3</f>
        <v>Pago</v>
      </c>
      <c r="D59" s="505"/>
      <c r="E59" s="506">
        <f>I5</f>
        <v>0</v>
      </c>
      <c r="F59" s="500"/>
      <c r="G59" s="500"/>
      <c r="H59" s="500"/>
      <c r="I59" s="497"/>
      <c r="J59" s="497"/>
      <c r="K59" s="507"/>
      <c r="L59" s="497"/>
    </row>
    <row ht="15" outlineLevel="0" r="60">
      <c r="A60" s="497"/>
      <c r="B60" s="497"/>
      <c r="C60" s="497"/>
      <c r="D60" s="497"/>
      <c r="E60" s="497"/>
      <c r="F60" s="497"/>
      <c r="G60" s="497"/>
      <c r="H60" s="497"/>
      <c r="I60" s="497"/>
      <c r="J60" s="497"/>
      <c r="K60" s="497"/>
      <c r="L60" s="497"/>
    </row>
    <row ht="15" outlineLevel="0" r="61">
      <c r="A61" s="497"/>
      <c r="B61" s="497"/>
      <c r="C61" s="497"/>
      <c r="D61" s="497"/>
      <c r="E61" s="497"/>
      <c r="F61" s="497"/>
      <c r="G61" s="497"/>
      <c r="H61" s="497"/>
      <c r="I61" s="497"/>
      <c r="J61" s="497"/>
      <c r="K61" s="497"/>
      <c r="L61" s="497"/>
    </row>
    <row ht="15" outlineLevel="0" r="62">
      <c r="A62" s="497"/>
      <c r="B62" s="497"/>
      <c r="C62" s="497"/>
      <c r="D62" s="497"/>
      <c r="E62" s="497"/>
      <c r="F62" s="497"/>
      <c r="G62" s="497"/>
      <c r="H62" s="497"/>
      <c r="I62" s="497"/>
      <c r="J62" s="497"/>
      <c r="K62" s="497"/>
      <c r="L62" s="497"/>
    </row>
    <row ht="12.8" outlineLevel="0" r="66">
      <c r="A66" s="479" t="s">
        <v>831</v>
      </c>
    </row>
    <row ht="12.8" outlineLevel="0" r="67">
      <c r="E67" s="508" t="s">
        <v>832</v>
      </c>
      <c r="F67" s="508"/>
      <c r="G67" s="508"/>
      <c r="H67" s="508"/>
      <c r="I67" s="508"/>
      <c r="J67" s="508"/>
      <c r="K67" s="508" t="s">
        <v>833</v>
      </c>
      <c r="L67" s="508"/>
    </row>
    <row ht="12.8" outlineLevel="0" r="68">
      <c r="A68" s="479" t="str">
        <f>A7</f>
        <v>Pessoal e Encargos Sociais</v>
      </c>
      <c r="C68" s="479" t="s">
        <v>834</v>
      </c>
      <c r="E68" s="509">
        <f>E7</f>
        <v>0</v>
      </c>
      <c r="F68" s="509"/>
      <c r="G68" s="509"/>
      <c r="H68" s="509"/>
      <c r="I68" s="509">
        <f>E68</f>
        <v>0</v>
      </c>
      <c r="J68" s="509"/>
      <c r="K68" s="509">
        <f>H7*1000</f>
        <v>0</v>
      </c>
      <c r="L68" s="509">
        <f>K68</f>
        <v>0</v>
      </c>
    </row>
    <row ht="12.8" outlineLevel="0" r="69">
      <c r="C69" s="479" t="s">
        <v>835</v>
      </c>
      <c r="E69" s="509">
        <f>I69+1</f>
        <v>17</v>
      </c>
      <c r="F69" s="509"/>
      <c r="G69" s="509"/>
      <c r="H69" s="509"/>
      <c r="I69" s="509">
        <f>E71+1</f>
        <v>16</v>
      </c>
      <c r="J69" s="509"/>
      <c r="K69" s="509">
        <f>E69</f>
        <v>17</v>
      </c>
      <c r="L69" s="509">
        <f>I69</f>
        <v>16</v>
      </c>
    </row>
    <row ht="12.8" outlineLevel="0" r="70">
      <c r="A70" s="479" t="str">
        <f>A8</f>
        <v>Juros e Encargos da Dívida</v>
      </c>
      <c r="C70" s="479" t="s">
        <v>834</v>
      </c>
      <c r="E70" s="509">
        <f>E8</f>
        <v>0</v>
      </c>
      <c r="F70" s="509"/>
      <c r="G70" s="509"/>
      <c r="H70" s="509"/>
      <c r="I70" s="509">
        <f>E70</f>
        <v>0</v>
      </c>
      <c r="J70" s="509"/>
      <c r="K70" s="509">
        <f>H8*1000</f>
        <v>0</v>
      </c>
      <c r="L70" s="509">
        <f>K70</f>
        <v>0</v>
      </c>
    </row>
    <row ht="12.8" outlineLevel="0" r="71">
      <c r="C71" s="479" t="s">
        <v>835</v>
      </c>
      <c r="E71" s="509">
        <f>I71+1</f>
        <v>15</v>
      </c>
      <c r="F71" s="509"/>
      <c r="G71" s="509"/>
      <c r="H71" s="509"/>
      <c r="I71" s="509">
        <f>E73+1</f>
        <v>14</v>
      </c>
      <c r="J71" s="509"/>
      <c r="K71" s="509">
        <f>E71</f>
        <v>15</v>
      </c>
      <c r="L71" s="509">
        <f>I71</f>
        <v>14</v>
      </c>
    </row>
    <row ht="12.8" outlineLevel="0" r="72">
      <c r="A72" s="479" t="str">
        <f>A10</f>
        <v>Transferência a Estados, DF e Municípios</v>
      </c>
      <c r="C72" s="479" t="s">
        <v>834</v>
      </c>
      <c r="E72" s="509">
        <f>E10</f>
        <v>0</v>
      </c>
      <c r="F72" s="509"/>
      <c r="G72" s="509"/>
      <c r="H72" s="509"/>
      <c r="I72" s="509">
        <f>E72</f>
        <v>0</v>
      </c>
      <c r="J72" s="509"/>
      <c r="K72" s="509">
        <f>H10*1000</f>
        <v>0</v>
      </c>
      <c r="L72" s="509">
        <f>K72</f>
        <v>0</v>
      </c>
    </row>
    <row ht="12.8" outlineLevel="0" r="73">
      <c r="C73" s="479" t="s">
        <v>835</v>
      </c>
      <c r="E73" s="509">
        <f>I73+1</f>
        <v>13</v>
      </c>
      <c r="F73" s="509"/>
      <c r="G73" s="509"/>
      <c r="H73" s="509"/>
      <c r="I73" s="509">
        <f>E75+1</f>
        <v>12</v>
      </c>
      <c r="J73" s="509"/>
      <c r="K73" s="509">
        <f>E73</f>
        <v>13</v>
      </c>
      <c r="L73" s="509">
        <f>I73</f>
        <v>12</v>
      </c>
    </row>
    <row ht="12.8" outlineLevel="0" r="74">
      <c r="A74" s="479" t="str">
        <f>A11</f>
        <v>Benefícios Previdenciários</v>
      </c>
      <c r="C74" s="479" t="s">
        <v>834</v>
      </c>
      <c r="E74" s="509">
        <f>E11</f>
        <v>0</v>
      </c>
      <c r="F74" s="509"/>
      <c r="G74" s="509"/>
      <c r="H74" s="509"/>
      <c r="I74" s="509">
        <f>E74</f>
        <v>0</v>
      </c>
      <c r="J74" s="509"/>
      <c r="K74" s="509">
        <f>H11*1000</f>
        <v>0</v>
      </c>
      <c r="L74" s="509">
        <f>K74</f>
        <v>0</v>
      </c>
    </row>
    <row ht="12.8" outlineLevel="0" r="75">
      <c r="C75" s="479" t="s">
        <v>835</v>
      </c>
      <c r="E75" s="509">
        <f>I75+1</f>
        <v>11</v>
      </c>
      <c r="F75" s="509"/>
      <c r="G75" s="509"/>
      <c r="H75" s="509"/>
      <c r="I75" s="509">
        <f>E77+1</f>
        <v>10</v>
      </c>
      <c r="J75" s="509"/>
      <c r="K75" s="509">
        <f>E75</f>
        <v>11</v>
      </c>
      <c r="L75" s="509">
        <f>I75</f>
        <v>10</v>
      </c>
    </row>
    <row ht="12.8" outlineLevel="0" r="76">
      <c r="A76" s="479" t="str">
        <f>A12</f>
        <v>Demais Despesas Correntes</v>
      </c>
      <c r="C76" s="479" t="s">
        <v>834</v>
      </c>
      <c r="E76" s="509">
        <f>E12</f>
        <v>0</v>
      </c>
      <c r="F76" s="509"/>
      <c r="G76" s="509"/>
      <c r="H76" s="509"/>
      <c r="I76" s="509">
        <f>E76</f>
        <v>0</v>
      </c>
      <c r="J76" s="509"/>
      <c r="K76" s="509">
        <f>H12*1000</f>
        <v>0</v>
      </c>
      <c r="L76" s="509">
        <f>K76</f>
        <v>0</v>
      </c>
    </row>
    <row ht="12.8" outlineLevel="0" r="77">
      <c r="C77" s="479" t="s">
        <v>835</v>
      </c>
      <c r="E77" s="509">
        <f>I77+1</f>
        <v>9</v>
      </c>
      <c r="F77" s="509"/>
      <c r="G77" s="509"/>
      <c r="H77" s="509"/>
      <c r="I77" s="509">
        <f>E79+1</f>
        <v>8</v>
      </c>
      <c r="J77" s="509"/>
      <c r="K77" s="509">
        <f>E77</f>
        <v>9</v>
      </c>
      <c r="L77" s="509">
        <f>I77</f>
        <v>8</v>
      </c>
    </row>
    <row ht="12.8" outlineLevel="0" r="78">
      <c r="A78" s="479" t="str">
        <f>A14</f>
        <v>Investimentos</v>
      </c>
      <c r="C78" s="479" t="s">
        <v>834</v>
      </c>
      <c r="E78" s="509">
        <f>E14</f>
        <v>0</v>
      </c>
      <c r="F78" s="509"/>
      <c r="G78" s="509"/>
      <c r="H78" s="509"/>
      <c r="I78" s="509">
        <f>E78</f>
        <v>0</v>
      </c>
      <c r="J78" s="509"/>
      <c r="K78" s="509">
        <f>H14*1000</f>
        <v>0</v>
      </c>
      <c r="L78" s="509">
        <f>K78</f>
        <v>0</v>
      </c>
    </row>
    <row ht="12.8" outlineLevel="0" r="79">
      <c r="C79" s="479" t="s">
        <v>835</v>
      </c>
      <c r="E79" s="509">
        <f>I79+1</f>
        <v>7</v>
      </c>
      <c r="F79" s="509"/>
      <c r="G79" s="509"/>
      <c r="H79" s="509"/>
      <c r="I79" s="509">
        <f>E81+1</f>
        <v>6</v>
      </c>
      <c r="J79" s="509"/>
      <c r="K79" s="509">
        <f>E79</f>
        <v>7</v>
      </c>
      <c r="L79" s="509">
        <f>I79</f>
        <v>6</v>
      </c>
    </row>
    <row ht="12.8" outlineLevel="0" r="80">
      <c r="A80" s="479" t="str">
        <f>A15</f>
        <v>Inversões Financeiras</v>
      </c>
      <c r="C80" s="479" t="s">
        <v>834</v>
      </c>
      <c r="E80" s="509">
        <f>E15</f>
        <v>0</v>
      </c>
      <c r="F80" s="509"/>
      <c r="G80" s="509"/>
      <c r="H80" s="509"/>
      <c r="I80" s="509">
        <f>E80</f>
        <v>0</v>
      </c>
      <c r="J80" s="509"/>
      <c r="K80" s="509">
        <f>H15*1000</f>
        <v>0</v>
      </c>
      <c r="L80" s="509">
        <f>K80</f>
        <v>0</v>
      </c>
    </row>
    <row ht="12.8" outlineLevel="0" r="81">
      <c r="C81" s="479" t="s">
        <v>835</v>
      </c>
      <c r="E81" s="509">
        <f>I81+1</f>
        <v>5</v>
      </c>
      <c r="F81" s="509"/>
      <c r="G81" s="509"/>
      <c r="H81" s="509"/>
      <c r="I81" s="509">
        <f>E83+1</f>
        <v>4</v>
      </c>
      <c r="J81" s="509"/>
      <c r="K81" s="509">
        <f>E81</f>
        <v>5</v>
      </c>
      <c r="L81" s="509">
        <f>I81</f>
        <v>4</v>
      </c>
    </row>
    <row ht="12.8" outlineLevel="0" r="82">
      <c r="A82" s="479" t="str">
        <f>A16</f>
        <v>Amortização da Dívida (Exceto Refinanciamento)</v>
      </c>
      <c r="C82" s="479" t="s">
        <v>834</v>
      </c>
      <c r="E82" s="509">
        <f>E16</f>
        <v>0</v>
      </c>
      <c r="F82" s="509"/>
      <c r="G82" s="509"/>
      <c r="H82" s="509"/>
      <c r="I82" s="509">
        <f>E82</f>
        <v>0</v>
      </c>
      <c r="J82" s="509"/>
      <c r="K82" s="509">
        <f>H16*1000</f>
        <v>0</v>
      </c>
      <c r="L82" s="509">
        <f>K82</f>
        <v>0</v>
      </c>
    </row>
    <row ht="12.8" outlineLevel="0" r="83">
      <c r="C83" s="479" t="s">
        <v>835</v>
      </c>
      <c r="E83" s="509">
        <f>I83+1</f>
        <v>3</v>
      </c>
      <c r="F83" s="509"/>
      <c r="G83" s="509"/>
      <c r="H83" s="509"/>
      <c r="I83" s="509">
        <f>E85+1</f>
        <v>2</v>
      </c>
      <c r="J83" s="509"/>
      <c r="K83" s="509">
        <f>E83</f>
        <v>3</v>
      </c>
      <c r="L83" s="509">
        <f>I83</f>
        <v>2</v>
      </c>
    </row>
    <row ht="12.8" outlineLevel="0" r="84">
      <c r="A84" s="479" t="str">
        <f>A17</f>
        <v>Amortização da Dívida (Refinanciamento)</v>
      </c>
      <c r="C84" s="479" t="s">
        <v>834</v>
      </c>
      <c r="E84" s="509">
        <f>E17</f>
        <v>0</v>
      </c>
      <c r="F84" s="509"/>
      <c r="G84" s="509"/>
      <c r="H84" s="509"/>
      <c r="I84" s="509">
        <f>E84</f>
        <v>0</v>
      </c>
      <c r="J84" s="509"/>
      <c r="K84" s="509">
        <f>H17*1000</f>
        <v>0</v>
      </c>
      <c r="L84" s="509">
        <f>K84</f>
        <v>0</v>
      </c>
    </row>
    <row ht="12.8" outlineLevel="0" r="85">
      <c r="C85" s="479" t="s">
        <v>835</v>
      </c>
      <c r="E85" s="509">
        <v>1</v>
      </c>
      <c r="F85" s="509"/>
      <c r="G85" s="509"/>
      <c r="H85" s="509"/>
      <c r="I85" s="509">
        <v>0</v>
      </c>
      <c r="J85" s="509"/>
      <c r="K85" s="509">
        <f>E85</f>
        <v>1</v>
      </c>
      <c r="L85" s="509">
        <f>I85</f>
        <v>0</v>
      </c>
    </row>
  </sheetData>
  <mergeCells count="6">
    <mergeCell ref="C3:D3"/>
    <mergeCell ref="E3:F3"/>
    <mergeCell ref="G3:H3"/>
    <mergeCell ref="I3:J3"/>
    <mergeCell ref="E67:I67"/>
    <mergeCell ref="K67:L67"/>
  </mergeCells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262626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3"/>
  <cols>
    <col min="1" max="2" width="26.59" style="1" customWidth="1"/>
    <col min="3" max="4" width="8.37" style="1" customWidth="1"/>
    <col min="5" max="5" width="12.69" style="1" customWidth="1"/>
    <col min="6" max="6" width="15.8" style="1" customWidth="1"/>
    <col min="7" max="7" width="12.15" style="1" customWidth="1"/>
    <col min="8" max="10" width="8.37" style="1" customWidth="1"/>
    <col min="11" max="11" width="26.73" style="1" customWidth="1"/>
    <col min="12" max="1025" width="8.37" style="1" customWidth="1"/>
  </cols>
  <sheetData>
    <row ht="13.8" outlineLevel="0" r="1">
      <c r="B1" s="1" t="str">
        <f>[15]Anexo_2!$A$5</f>
        <v>JANEIRO A SETEMBRO DE 2021</v>
      </c>
    </row>
    <row ht="13.8" outlineLevel="0" r="2">
      <c r="A2" s="510" t="s">
        <v>836</v>
      </c>
      <c r="B2" s="511" t="s">
        <v>837</v>
      </c>
    </row>
    <row ht="13.8" outlineLevel="0" r="3">
      <c r="A3" s="1" t="str">
        <f>[15]Anexo_2!$A13</f>
        <v>LEGISLATIVA</v>
      </c>
      <c r="B3" s="512">
        <f>[15]Anexo_2!$E13/1000000</f>
        <v>7.69796015189</v>
      </c>
      <c r="E3" s="1" t="str">
        <f>MID(K3,11,9)</f>
        <v>MARÇO DE </v>
      </c>
      <c r="F3" s="1" t="s">
        <v>838</v>
      </c>
      <c r="G3" s="1" t="s">
        <v>839</v>
      </c>
      <c r="H3" s="1">
        <f>LEN(G3)</f>
        <v>7</v>
      </c>
      <c r="I3" s="1">
        <f>LEN(F3)</f>
        <v>10</v>
      </c>
      <c r="K3" s="1" t="s">
        <v>840</v>
      </c>
    </row>
    <row ht="13.8" outlineLevel="0" r="4">
      <c r="A4" s="1" t="str">
        <f>[15]Anexo_2!$A14</f>
        <v>JUDICIARIA</v>
      </c>
      <c r="B4" s="512">
        <f>[15]Anexo_2!$E14/1000000</f>
        <v>33.69775085728</v>
      </c>
      <c r="G4" s="1" t="s">
        <v>841</v>
      </c>
      <c r="H4" s="1">
        <f>LEN(G4)</f>
        <v>9</v>
      </c>
    </row>
    <row ht="13.8" outlineLevel="0" r="5">
      <c r="A5" s="1" t="str">
        <f>[15]Anexo_2!$A15</f>
        <v>ESSENCIAL A JUSTICA</v>
      </c>
      <c r="B5" s="512">
        <f>[15]Anexo_2!$E15/1000000</f>
        <v>6.86015063805</v>
      </c>
      <c r="G5" s="1" t="s">
        <v>842</v>
      </c>
      <c r="H5" s="1">
        <f>LEN(G5)</f>
        <v>5</v>
      </c>
    </row>
    <row ht="13.8" outlineLevel="0" r="6">
      <c r="A6" s="1" t="str">
        <f>[15]Anexo_2!$A16</f>
        <v>ADMINISTRACAO</v>
      </c>
      <c r="B6" s="512">
        <f>[15]Anexo_2!$E16/1000000</f>
        <v>21.3873176730822</v>
      </c>
      <c r="G6" s="1" t="s">
        <v>843</v>
      </c>
      <c r="H6" s="1">
        <f>LEN(G6)</f>
        <v>5</v>
      </c>
      <c r="K6" s="1" t="str">
        <f>TRIM(K3)</f>
        <v>JANEIRO A MARÇO DE 2018</v>
      </c>
    </row>
    <row ht="13.8" outlineLevel="0" r="7">
      <c r="A7" s="1" t="str">
        <f>[15]Anexo_2!$A17</f>
        <v>DEFESA NACIONAL</v>
      </c>
      <c r="B7" s="512">
        <f>[15]Anexo_2!$E17/1000000</f>
        <v>64.2353508976852</v>
      </c>
      <c r="G7" s="1" t="s">
        <v>844</v>
      </c>
      <c r="H7" s="1">
        <f>LEN(G7)</f>
        <v>4</v>
      </c>
    </row>
    <row ht="13.8" outlineLevel="0" r="8">
      <c r="A8" s="1" t="str">
        <f>[15]Anexo_2!$A18</f>
        <v>SEGURANCA PUBLICA</v>
      </c>
      <c r="B8" s="512">
        <f>[15]Anexo_2!$E18/1000000</f>
        <v>9.72950823550983</v>
      </c>
      <c r="G8" s="1" t="s">
        <v>845</v>
      </c>
      <c r="H8" s="1">
        <f>LEN(G8)</f>
        <v>5</v>
      </c>
    </row>
    <row ht="13.8" outlineLevel="0" r="9">
      <c r="A9" s="1" t="str">
        <f>[15]Anexo_2!$A19</f>
        <v>RELACOES EXTERIORES</v>
      </c>
      <c r="B9" s="512">
        <f>[15]Anexo_2!$E19/1000000</f>
        <v>2.7837608915599</v>
      </c>
      <c r="G9" s="1" t="s">
        <v>846</v>
      </c>
      <c r="H9" s="1">
        <f>LEN(G9)</f>
        <v>5</v>
      </c>
    </row>
    <row ht="13.8" outlineLevel="0" r="10">
      <c r="A10" s="1" t="str">
        <f>[15]Anexo_2!$A20</f>
        <v>ASSISTENCIA SOCIAL</v>
      </c>
      <c r="B10" s="512">
        <f>[15]Anexo_2!$E20/1000000</f>
        <v>155.78883641475</v>
      </c>
      <c r="G10" s="1" t="s">
        <v>847</v>
      </c>
      <c r="H10" s="1">
        <f>LEN(G10)</f>
        <v>6</v>
      </c>
    </row>
    <row ht="13.8" outlineLevel="0" r="11">
      <c r="A11" s="1" t="str">
        <f>[15]Anexo_2!$A21</f>
        <v>PREVIDENCIA SOCIAL</v>
      </c>
      <c r="B11" s="512">
        <f>[15]Anexo_2!$E21/1000000</f>
        <v>638.20906954214</v>
      </c>
      <c r="G11" s="1" t="s">
        <v>848</v>
      </c>
      <c r="H11" s="1">
        <f>LEN(G11)</f>
        <v>8</v>
      </c>
    </row>
    <row ht="13.8" outlineLevel="0" r="12">
      <c r="A12" s="1" t="str">
        <f>[15]Anexo_2!$A22</f>
        <v>SAUDE</v>
      </c>
      <c r="B12" s="512">
        <f>[15]Anexo_2!$E22/1000000</f>
        <v>141.958563532461</v>
      </c>
      <c r="G12" s="1" t="s">
        <v>849</v>
      </c>
      <c r="H12" s="1">
        <f>LEN(G12)</f>
        <v>7</v>
      </c>
    </row>
    <row ht="13.8" outlineLevel="0" r="13">
      <c r="A13" s="1" t="str">
        <f>[15]Anexo_2!$A23</f>
        <v>TRABALHO</v>
      </c>
      <c r="B13" s="512">
        <f>[15]Anexo_2!$E23/1000000</f>
        <v>56.09705379754</v>
      </c>
      <c r="G13" s="1" t="s">
        <v>850</v>
      </c>
      <c r="H13" s="1">
        <f>LEN(G13)</f>
        <v>8</v>
      </c>
    </row>
    <row ht="13.8" outlineLevel="0" r="14">
      <c r="A14" s="1" t="str">
        <f>[15]Anexo_2!$A24</f>
        <v>EDUCACAO</v>
      </c>
      <c r="B14" s="512">
        <f>[15]Anexo_2!$E24/1000000</f>
        <v>93.9768598638556</v>
      </c>
      <c r="G14" s="1" t="s">
        <v>851</v>
      </c>
      <c r="H14" s="1">
        <f>LEN(G14)</f>
        <v>8</v>
      </c>
    </row>
    <row ht="13.8" outlineLevel="0" r="15">
      <c r="A15" s="1" t="str">
        <f>[15]Anexo_2!$A25</f>
        <v>CULTURA</v>
      </c>
      <c r="B15" s="512">
        <f>[15]Anexo_2!$E25/1000000</f>
        <v>0.65085529022</v>
      </c>
    </row>
    <row ht="13.8" outlineLevel="0" r="16">
      <c r="A16" s="1" t="str">
        <f>[15]Anexo_2!$A26</f>
        <v>DIREITOS DA CIDADANIA</v>
      </c>
      <c r="B16" s="512">
        <f>[15]Anexo_2!$E26/1000000</f>
        <v>0.8287828034</v>
      </c>
    </row>
    <row ht="13.8" outlineLevel="0" r="17">
      <c r="A17" s="1" t="str">
        <f>[15]Anexo_2!$A27</f>
        <v>URBANISMO</v>
      </c>
      <c r="B17" s="512">
        <f>[15]Anexo_2!$E27/1000000</f>
        <v>4.10847751837</v>
      </c>
    </row>
    <row ht="13.8" outlineLevel="0" r="18">
      <c r="A18" s="1" t="str">
        <f>[15]Anexo_2!$A28</f>
        <v>HABITACAO</v>
      </c>
      <c r="B18" s="512">
        <f>[15]Anexo_2!$E28/1000000</f>
        <v>0.009741785</v>
      </c>
    </row>
    <row ht="13.8" outlineLevel="0" r="19">
      <c r="A19" s="1" t="str">
        <f>[15]Anexo_2!$A29</f>
        <v>SANEAMENTO</v>
      </c>
      <c r="B19" s="512">
        <f>[15]Anexo_2!$E29/1000000</f>
        <v>0.31397480596</v>
      </c>
    </row>
    <row ht="13.8" outlineLevel="0" r="20">
      <c r="A20" s="1" t="str">
        <f>[15]Anexo_2!$A30</f>
        <v>GESTAO AMBIENTAL</v>
      </c>
      <c r="B20" s="512">
        <f>[15]Anexo_2!$E30/1000000</f>
        <v>3.09210352266096</v>
      </c>
    </row>
    <row ht="13.8" outlineLevel="0" r="21">
      <c r="A21" s="1" t="str">
        <f>[15]Anexo_2!$A31</f>
        <v>CIENCIA E TECNOLOGIA</v>
      </c>
      <c r="B21" s="512">
        <f>[15]Anexo_2!$E31/1000000</f>
        <v>3.40050855442795</v>
      </c>
    </row>
    <row ht="13.8" outlineLevel="0" r="22">
      <c r="A22" s="1" t="str">
        <f>[15]Anexo_2!$A32</f>
        <v>AGRICULTURA</v>
      </c>
      <c r="B22" s="512">
        <f>[15]Anexo_2!$E32/1000000</f>
        <v>19.7388705357986</v>
      </c>
    </row>
    <row ht="13.8" outlineLevel="0" r="23">
      <c r="A23" s="1" t="str">
        <f>[15]Anexo_2!$A33</f>
        <v>ORGANIZACAO AGRARIA</v>
      </c>
      <c r="B23" s="512">
        <f>[15]Anexo_2!$E33/1000000</f>
        <v>1.08390365745</v>
      </c>
    </row>
    <row ht="13.8" outlineLevel="0" r="24">
      <c r="A24" s="1" t="str">
        <f>[15]Anexo_2!$A34</f>
        <v>INDUSTRIA</v>
      </c>
      <c r="B24" s="512">
        <f>[15]Anexo_2!$E34/1000000</f>
        <v>1.41323660703</v>
      </c>
    </row>
    <row ht="13.8" outlineLevel="0" r="25">
      <c r="A25" s="1" t="str">
        <f>[15]Anexo_2!$A35</f>
        <v>COMERCIO E SERVICOS</v>
      </c>
      <c r="B25" s="512">
        <f>[15]Anexo_2!$E35/1000000</f>
        <v>3.34572118597695</v>
      </c>
    </row>
    <row ht="13.8" outlineLevel="0" r="26">
      <c r="A26" s="1" t="str">
        <f>[15]Anexo_2!$A36</f>
        <v>COMUNICACOES</v>
      </c>
      <c r="B26" s="512">
        <f>[15]Anexo_2!$E36/1000000</f>
        <v>1.66418139808521</v>
      </c>
    </row>
    <row ht="13.8" outlineLevel="0" r="27">
      <c r="A27" s="1" t="str">
        <f>[15]Anexo_2!$A37</f>
        <v>ENERGIA</v>
      </c>
      <c r="B27" s="512">
        <f>[15]Anexo_2!$E37/1000000</f>
        <v>1.25834518676761</v>
      </c>
    </row>
    <row ht="13.8" outlineLevel="0" r="28">
      <c r="A28" s="1" t="str">
        <f>[15]Anexo_2!$A38</f>
        <v>TRANSPORTE</v>
      </c>
      <c r="B28" s="512">
        <f>[15]Anexo_2!$E38/1000000</f>
        <v>7.65970307625</v>
      </c>
    </row>
    <row ht="13.8" outlineLevel="0" r="29">
      <c r="A29" s="1" t="str">
        <f>[15]Anexo_2!$A39</f>
        <v>DESPORTO E LAZER</v>
      </c>
      <c r="B29" s="512">
        <f>[15]Anexo_2!$E39/1000000</f>
        <v>0.53415821566</v>
      </c>
    </row>
    <row ht="13.8" outlineLevel="0" r="30">
      <c r="A30" s="1" t="str">
        <f>[15]Anexo_2!$A40</f>
        <v>ENCARGOS ESPECIAIS</v>
      </c>
      <c r="B30" s="512">
        <f>[15]Anexo_2!$E40/1000000</f>
        <v>925.237198799695</v>
      </c>
    </row>
    <row ht="13.8" outlineLevel="0" r="31">
      <c r="A31" s="1" t="str">
        <f>[15]Anexo_2!$A41</f>
        <v>RESERVA DE CONTINGENCIA</v>
      </c>
      <c r="B31" s="512">
        <f>[15]Anexo_2!$E41/1000000</f>
        <v>0</v>
      </c>
    </row>
    <row ht="13.8" outlineLevel="0" r="32">
      <c r="B32" s="512"/>
    </row>
    <row ht="13.8" outlineLevel="0" r="33">
      <c r="B33" s="512"/>
    </row>
    <row ht="13.8" outlineLevel="0" r="34">
      <c r="B34" s="512"/>
    </row>
    <row ht="13.8" outlineLevel="0" r="35">
      <c r="B35" s="512"/>
    </row>
    <row ht="13.8" outlineLevel="0" r="36">
      <c r="B36" s="512"/>
    </row>
    <row ht="13.8" outlineLevel="0" r="37">
      <c r="B37" s="512"/>
    </row>
    <row ht="13.8" outlineLevel="0" r="38">
      <c r="B38" s="512"/>
    </row>
  </sheetData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262626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3"/>
  <cols>
    <col min="1" max="1" width="24.97" style="1" customWidth="1"/>
    <col min="2" max="2" width="26.46" style="1" customWidth="1"/>
    <col min="3" max="1025" width="8.37" style="1" customWidth="1"/>
  </cols>
  <sheetData>
    <row ht="13.8" outlineLevel="0" r="3">
      <c r="A3" s="2" t="s">
        <v>852</v>
      </c>
      <c r="B3" s="2" t="s">
        <v>853</v>
      </c>
    </row>
    <row ht="13.8" outlineLevel="0" r="4">
      <c r="A4" s="513" t="s">
        <v>854</v>
      </c>
      <c r="B4" s="514">
        <v>810.560999833382</v>
      </c>
    </row>
    <row ht="13.8" outlineLevel="0" r="5">
      <c r="A5" s="513" t="s">
        <v>855</v>
      </c>
      <c r="B5" s="514">
        <v>531.02689300156</v>
      </c>
    </row>
    <row ht="13.8" outlineLevel="0" r="6">
      <c r="A6" s="513" t="s">
        <v>856</v>
      </c>
      <c r="B6" s="514">
        <v>131.47862232438</v>
      </c>
    </row>
    <row ht="13.8" outlineLevel="0" r="7">
      <c r="A7" s="513" t="s">
        <v>857</v>
      </c>
      <c r="B7" s="514">
        <v>119.387315269389</v>
      </c>
    </row>
    <row ht="13.8" outlineLevel="0" r="8">
      <c r="A8" s="513" t="s">
        <v>858</v>
      </c>
      <c r="B8" s="514">
        <v>84.3907117988376</v>
      </c>
    </row>
    <row ht="13.8" outlineLevel="0" r="9">
      <c r="A9" s="513" t="s">
        <v>859</v>
      </c>
      <c r="B9" s="514">
        <v>58.4036935133549</v>
      </c>
    </row>
    <row ht="13.8" outlineLevel="0" r="10">
      <c r="A10" s="513" t="s">
        <v>860</v>
      </c>
      <c r="B10" s="514">
        <v>50.36360515449</v>
      </c>
    </row>
    <row ht="13.8" outlineLevel="0" r="11">
      <c r="A11" s="513" t="s">
        <v>861</v>
      </c>
      <c r="B11" s="514">
        <v>32.08227782859</v>
      </c>
    </row>
    <row ht="13.8" outlineLevel="0" r="12">
      <c r="A12" s="513" t="s">
        <v>862</v>
      </c>
      <c r="B12" s="514">
        <v>19.2814258347829</v>
      </c>
    </row>
    <row ht="13.8" outlineLevel="0" r="13">
      <c r="A13" s="513" t="s">
        <v>863</v>
      </c>
      <c r="B13" s="514">
        <v>19.1537190360912</v>
      </c>
    </row>
    <row ht="13.8" outlineLevel="0" r="14">
      <c r="A14" s="513" t="s">
        <v>864</v>
      </c>
      <c r="B14" s="514">
        <v>8.68935336230986</v>
      </c>
    </row>
    <row ht="13.8" outlineLevel="0" r="15">
      <c r="A15" s="513" t="s">
        <v>865</v>
      </c>
      <c r="B15" s="514">
        <v>7.5923145899</v>
      </c>
    </row>
    <row ht="13.8" outlineLevel="0" r="16">
      <c r="A16" s="513" t="s">
        <v>866</v>
      </c>
      <c r="B16" s="514">
        <v>7.45146620789</v>
      </c>
    </row>
    <row ht="13.8" outlineLevel="0" r="17">
      <c r="A17" s="513" t="s">
        <v>867</v>
      </c>
      <c r="B17" s="514">
        <v>6.23343749802</v>
      </c>
    </row>
    <row ht="13.8" outlineLevel="0" r="18">
      <c r="A18" s="513" t="s">
        <v>868</v>
      </c>
      <c r="B18" s="514">
        <v>3.20594607723282</v>
      </c>
    </row>
    <row ht="13.8" outlineLevel="0" r="19">
      <c r="A19" s="513" t="s">
        <v>869</v>
      </c>
      <c r="B19" s="514">
        <v>2.75467908937</v>
      </c>
    </row>
    <row ht="13.8" outlineLevel="0" r="20">
      <c r="A20" s="513" t="s">
        <v>870</v>
      </c>
      <c r="B20" s="514">
        <v>2.73268385567347</v>
      </c>
    </row>
    <row ht="13.8" outlineLevel="0" r="21">
      <c r="A21" s="513" t="s">
        <v>871</v>
      </c>
      <c r="B21" s="514">
        <v>2.12785062068</v>
      </c>
    </row>
    <row ht="13.8" outlineLevel="0" r="22">
      <c r="A22" s="513" t="s">
        <v>872</v>
      </c>
      <c r="B22" s="514">
        <v>2.0443462258094</v>
      </c>
    </row>
    <row ht="13.8" outlineLevel="0" r="23">
      <c r="A23" s="513" t="s">
        <v>873</v>
      </c>
      <c r="B23" s="514">
        <v>1.32779229428039</v>
      </c>
    </row>
    <row ht="13.8" outlineLevel="0" r="24">
      <c r="A24" s="513" t="s">
        <v>874</v>
      </c>
      <c r="B24" s="514">
        <v>1.18114896432</v>
      </c>
    </row>
    <row ht="13.8" outlineLevel="0" r="25">
      <c r="A25" s="513" t="s">
        <v>875</v>
      </c>
      <c r="B25" s="514">
        <v>1.12391834817389</v>
      </c>
    </row>
    <row ht="13.8" outlineLevel="0" r="26">
      <c r="A26" s="513" t="s">
        <v>876</v>
      </c>
      <c r="B26" s="514">
        <v>0.77472448419</v>
      </c>
    </row>
    <row ht="13.8" outlineLevel="0" r="27">
      <c r="A27" s="513" t="s">
        <v>877</v>
      </c>
      <c r="B27" s="514">
        <v>0.65427637913</v>
      </c>
    </row>
    <row ht="13.8" outlineLevel="0" r="28">
      <c r="A28" s="513" t="s">
        <v>878</v>
      </c>
      <c r="B28" s="514">
        <v>0.61052984982</v>
      </c>
    </row>
    <row ht="13.8" outlineLevel="0" r="29">
      <c r="A29" s="513" t="s">
        <v>879</v>
      </c>
      <c r="B29" s="514">
        <v>0.31477376329</v>
      </c>
    </row>
    <row ht="13.8" outlineLevel="0" r="30">
      <c r="A30" s="513" t="s">
        <v>880</v>
      </c>
      <c r="B30" s="514">
        <v>0.29717348327</v>
      </c>
    </row>
    <row ht="13.8" outlineLevel="0" r="31">
      <c r="A31" s="513" t="s">
        <v>881</v>
      </c>
      <c r="B31" s="514">
        <v>0.009191785</v>
      </c>
    </row>
    <row ht="13.8" outlineLevel="0" r="32">
      <c r="A32" s="513" t="s">
        <v>40</v>
      </c>
      <c r="B32" s="514">
        <v>0</v>
      </c>
    </row>
    <row ht="13.8" outlineLevel="0" r="33">
      <c r="A33" s="513" t="s">
        <v>882</v>
      </c>
      <c r="B33" s="514">
        <v>1905.25487047322</v>
      </c>
    </row>
  </sheetData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262626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3"/>
  <cols>
    <col min="1" max="2" width="8.37" style="1" customWidth="1"/>
    <col min="3" max="3" width="17.14" style="1" customWidth="1"/>
    <col min="4" max="5" width="25.92" style="1" customWidth="1"/>
    <col min="6" max="6" width="8.37" style="1" customWidth="1"/>
    <col min="7" max="7" width="10.26" style="1" customWidth="1"/>
    <col min="8" max="11" width="8.37" style="1" customWidth="1"/>
    <col min="12" max="12" width="34.42" style="1" customWidth="1"/>
    <col min="13" max="13" width="13.23" style="1" customWidth="1"/>
    <col min="14" max="14" width="15.39" style="1" customWidth="1"/>
    <col min="15" max="15" width="13.63" style="1" customWidth="1"/>
    <col min="16" max="16" width="46.17" style="1" customWidth="1"/>
    <col min="17" max="17" width="10.8" style="1" customWidth="1"/>
    <col min="18" max="1025" width="8.37" style="1" customWidth="1"/>
  </cols>
  <sheetData>
    <row ht="13.8" outlineLevel="0" r="1">
      <c r="D1" s="515" t="s">
        <v>883</v>
      </c>
      <c r="E1" s="515" t="s">
        <v>884</v>
      </c>
      <c r="P1" s="1" t="s">
        <v>885</v>
      </c>
      <c r="Q1" s="100">
        <f>+('[16]Anexo_6_(MDF_-_IMPRENSA)'!$I$76-'[16]Anexo_6_(MDF_-_IMPRENSA)'!$F$76)/1000</f>
        <v>170044.158554679</v>
      </c>
    </row>
    <row ht="13.8" outlineLevel="0" r="2">
      <c r="B2" s="516"/>
      <c r="C2" s="1" t="s">
        <v>886</v>
      </c>
      <c r="D2" s="517">
        <f>+'[16]Anexo_6_(MDF_-_IMPRENSA)'!$F$29/1000</f>
        <v>898909.90045069</v>
      </c>
      <c r="E2" s="518"/>
      <c r="G2" s="517"/>
      <c r="P2" s="1" t="s">
        <v>887</v>
      </c>
      <c r="Q2" s="100">
        <f>+'[16]Anexo_6_(MDF_-_IMPRENSA)'!$I$111/1000</f>
        <v>118708.985794173</v>
      </c>
      <c r="AQ2" s="1">
        <v>82829611.39</v>
      </c>
    </row>
    <row ht="13.8" outlineLevel="0" r="3">
      <c r="B3" s="516"/>
      <c r="D3" s="517"/>
      <c r="E3" s="518"/>
      <c r="G3" s="517"/>
      <c r="P3" s="1" t="s">
        <v>888</v>
      </c>
      <c r="Q3" s="100">
        <f>+'[16]Anexo_6_(MDF_-_IMPRENSA)'!$I$100/1000</f>
        <v>130873.63641902</v>
      </c>
    </row>
    <row ht="13.8" outlineLevel="0" r="4">
      <c r="B4" s="516"/>
      <c r="C4" s="1" t="s">
        <v>889</v>
      </c>
      <c r="D4" s="517">
        <f>'[16]Anexo_6_RP_e_RN_Novo_(INTERNET)'!$E$49/1000</f>
        <v>952997.404686727</v>
      </c>
      <c r="E4" s="518"/>
      <c r="P4" s="1" t="s">
        <v>890</v>
      </c>
      <c r="Q4" s="100">
        <f>+'[16]Anexo_6_(MDF_-_IMPRENSA)'!$I$94/1000</f>
        <v>0</v>
      </c>
      <c r="AQ4" s="1">
        <v>27182061.82</v>
      </c>
    </row>
    <row ht="13.8" outlineLevel="0" r="5">
      <c r="C5" s="1" t="s">
        <v>891</v>
      </c>
      <c r="D5" s="517">
        <f>+D2-D4</f>
        <v>-54087.504236037</v>
      </c>
      <c r="E5" s="518"/>
      <c r="P5" s="1" t="s">
        <v>892</v>
      </c>
      <c r="Q5" s="100">
        <f>+'[16]Anexo_6_(MDF_-_IMPRENSA)'!$I$87/1000</f>
        <v>7594.64527053</v>
      </c>
      <c r="AQ5" s="1">
        <v>46328018.92</v>
      </c>
    </row>
    <row ht="23.85" outlineLevel="0" r="6">
      <c r="C6" s="1" t="s">
        <v>893</v>
      </c>
      <c r="D6" s="517">
        <f>+'[16]Anexo_6_(MDF_-_IMPRENSA)'!$C$56/1000</f>
        <v>264715.120781642</v>
      </c>
      <c r="P6" s="519" t="s">
        <v>894</v>
      </c>
      <c r="Q6" s="100">
        <f>+Q5-Q4+Q3+Q2</f>
        <v>257177.267483723</v>
      </c>
      <c r="AQ6" s="1">
        <v>2999528.51</v>
      </c>
    </row>
    <row ht="13.8" outlineLevel="0" r="7">
      <c r="C7" s="1" t="s">
        <v>895</v>
      </c>
      <c r="D7" s="517">
        <f>+'[16]Anexo_6_(MDF_-_IMPRENSA)'!$C$57/1000</f>
        <v>496288.09362109</v>
      </c>
      <c r="AQ7" s="1">
        <v>1502.27</v>
      </c>
    </row>
    <row ht="23.85" outlineLevel="0" r="8">
      <c r="C8" s="519" t="s">
        <v>896</v>
      </c>
      <c r="D8" s="517">
        <f>+D5+D6-D7</f>
        <v>-285660.477075485</v>
      </c>
      <c r="AQ8" s="1">
        <v>39269.53</v>
      </c>
    </row>
    <row ht="13.8" outlineLevel="0" r="9">
      <c r="P9" s="1" t="s">
        <v>897</v>
      </c>
      <c r="Q9" s="100">
        <f>-(Q1-Q6)</f>
        <v>87133.108929044</v>
      </c>
      <c r="AQ9" s="1">
        <v>2901766.1</v>
      </c>
    </row>
    <row ht="13.8" outlineLevel="0" r="10">
      <c r="P10" s="1" t="s">
        <v>898</v>
      </c>
      <c r="Q10" s="100">
        <f>+D6</f>
        <v>264715.120781642</v>
      </c>
      <c r="AQ10" s="1">
        <v>39630.63</v>
      </c>
    </row>
    <row ht="13.8" outlineLevel="0" r="11">
      <c r="P11" s="1" t="s">
        <v>899</v>
      </c>
      <c r="Q11" s="100">
        <f>+D7</f>
        <v>496288.09362109</v>
      </c>
      <c r="AQ11" s="1">
        <v>2588.25</v>
      </c>
    </row>
    <row ht="13.8" outlineLevel="0" r="12">
      <c r="P12" s="1" t="s">
        <v>900</v>
      </c>
      <c r="Q12" s="100">
        <f>+Q9-Q10+Q11</f>
        <v>318706.081768492</v>
      </c>
      <c r="AQ12" s="1">
        <v>3335245.36</v>
      </c>
    </row>
    <row ht="13.8" outlineLevel="0" r="13">
      <c r="AQ13" s="1">
        <v>39809880.04</v>
      </c>
    </row>
    <row ht="13.8" outlineLevel="0" r="14">
      <c r="AQ14" s="1">
        <v>13467400.34</v>
      </c>
    </row>
    <row ht="13.8" outlineLevel="0" r="15">
      <c r="AQ15" s="1">
        <v>21625235.99</v>
      </c>
    </row>
    <row ht="13.8" outlineLevel="0" r="16">
      <c r="AQ16" s="1">
        <v>729392.47</v>
      </c>
    </row>
    <row ht="13.8" outlineLevel="0" r="17">
      <c r="AQ17" s="1">
        <f>+AQ16</f>
        <v>729392.47</v>
      </c>
    </row>
    <row ht="13.8" outlineLevel="0" r="18">
      <c r="AQ18" s="1">
        <v>0</v>
      </c>
    </row>
    <row ht="13.8" outlineLevel="0" r="19">
      <c r="AQ19" s="1">
        <v>16.12</v>
      </c>
    </row>
    <row ht="13.8" outlineLevel="0" r="20">
      <c r="AQ20" s="1">
        <v>166919.04</v>
      </c>
    </row>
    <row ht="13.8" outlineLevel="0" r="21">
      <c r="AQ21" s="1">
        <v>3820916.08</v>
      </c>
    </row>
    <row ht="13.8" outlineLevel="0" r="22">
      <c r="AQ22" s="1">
        <v>3106850.39</v>
      </c>
    </row>
    <row ht="13.8" outlineLevel="0" r="23">
      <c r="AQ23" s="1">
        <v>714065.69</v>
      </c>
    </row>
    <row ht="13.8" outlineLevel="0" r="24">
      <c r="AQ24" s="1">
        <v>43019731.35</v>
      </c>
    </row>
    <row ht="13.8" outlineLevel="0" r="26">
      <c r="AR26" s="1">
        <f>SUM(AG24:AR24)*1000</f>
        <v>43019731350</v>
      </c>
    </row>
    <row ht="13.8" outlineLevel="0" r="30">
      <c r="C30" s="1" t="s">
        <v>901</v>
      </c>
      <c r="D30" s="1" t="str">
        <f>LOWER('[16]Anexo_6_(MDF_-_IMPRENSA)'!$D$12)</f>
        <v>até junho/2021</v>
      </c>
      <c r="L30" s="1" t="s">
        <v>902</v>
      </c>
      <c r="M30" s="517">
        <f>+Q1</f>
        <v>170044.158554679</v>
      </c>
      <c r="N30" s="517">
        <f>IF(M30&gt;M31,0,M31-M30)</f>
        <v>87133.108929044</v>
      </c>
      <c r="O30" s="1">
        <v>0</v>
      </c>
    </row>
    <row ht="13.8" outlineLevel="0" r="31">
      <c r="C31" s="1" t="s">
        <v>901</v>
      </c>
      <c r="D31" s="1" t="s">
        <v>903</v>
      </c>
      <c r="L31" s="1" t="s">
        <v>904</v>
      </c>
      <c r="M31" s="517">
        <f>+Q6</f>
        <v>257177.267483723</v>
      </c>
      <c r="N31" s="517">
        <f>-Q9</f>
        <v>-87133.108929044</v>
      </c>
      <c r="O31" s="512">
        <f>+M30-M31-N31</f>
        <v>0</v>
      </c>
    </row>
    <row ht="13.8" outlineLevel="0" r="33">
      <c r="L33" s="1" t="s">
        <v>886</v>
      </c>
      <c r="M33" s="517">
        <f>+D2</f>
        <v>898909.90045069</v>
      </c>
      <c r="N33" s="517">
        <f>IF(M33&gt;M34,0,M34-M33)</f>
        <v>54087.504236037</v>
      </c>
      <c r="O33" s="1">
        <v>0</v>
      </c>
    </row>
    <row ht="13.8" outlineLevel="0" r="34">
      <c r="L34" s="1" t="s">
        <v>905</v>
      </c>
      <c r="M34" s="517">
        <f>+D4</f>
        <v>952997.404686727</v>
      </c>
      <c r="N34" s="517">
        <f>+M33-M34</f>
        <v>-54087.504236037</v>
      </c>
      <c r="O34" s="512">
        <f>+M33-M34-N34</f>
        <v>0</v>
      </c>
    </row>
  </sheetData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3"/>
  <cols>
    <col min="1" max="1" width="8.37" style="1" customWidth="1"/>
    <col min="2" max="2" width="41.71" style="1" customWidth="1"/>
    <col min="3" max="3" width="11.74" style="1" customWidth="1"/>
    <col min="4" max="4" width="20.52" style="1" customWidth="1"/>
    <col min="5" max="5" width="19.71" style="1" customWidth="1"/>
    <col min="6" max="1025" width="8.37" style="1" customWidth="1"/>
  </cols>
  <sheetData>
    <row ht="13.8" outlineLevel="0" r="2">
      <c r="B2" s="1" t="s">
        <v>906</v>
      </c>
      <c r="C2" s="100">
        <f>[10]Anexo_9!$C$13/1000</f>
        <v>1559412.19121516</v>
      </c>
    </row>
    <row ht="13.8" outlineLevel="0" r="3">
      <c r="B3" s="1" t="s">
        <v>829</v>
      </c>
      <c r="C3" s="517">
        <f>[10]Anexo_9!$D$22/1000+[10]Anexo_9!$E$22/1000</f>
        <v>1212979.94233364</v>
      </c>
    </row>
    <row ht="13.8" outlineLevel="0" r="30">
      <c r="B30" s="520"/>
      <c r="C30" s="520"/>
      <c r="D30" s="520"/>
      <c r="E30" s="521" t="s">
        <v>599</v>
      </c>
    </row>
    <row ht="15" outlineLevel="0" r="31">
      <c r="B31" s="522" t="s">
        <v>907</v>
      </c>
      <c r="C31" s="522"/>
      <c r="D31" s="522"/>
      <c r="E31" s="523" t="s">
        <v>908</v>
      </c>
    </row>
    <row ht="15" outlineLevel="0" r="32">
      <c r="B32" s="524" t="s">
        <v>909</v>
      </c>
      <c r="C32" s="524"/>
      <c r="D32" s="524"/>
      <c r="E32" s="525">
        <f>+E33-E34</f>
        <v>1559.41219121541</v>
      </c>
    </row>
    <row ht="15" outlineLevel="0" r="33">
      <c r="B33" s="526" t="s">
        <v>910</v>
      </c>
      <c r="C33" s="526"/>
      <c r="D33" s="526"/>
      <c r="E33" s="527">
        <v>1648.39476321625</v>
      </c>
    </row>
    <row ht="15" outlineLevel="0" r="34">
      <c r="B34" s="526" t="s">
        <v>911</v>
      </c>
      <c r="C34" s="526"/>
      <c r="D34" s="526"/>
      <c r="E34" s="527">
        <v>88.9825720008389</v>
      </c>
    </row>
    <row ht="15" outlineLevel="0" r="35">
      <c r="B35" s="524" t="s">
        <v>912</v>
      </c>
      <c r="C35" s="524"/>
      <c r="D35" s="524"/>
      <c r="E35" s="525">
        <f>+E36+E37+E38</f>
        <v>1212.97994233364</v>
      </c>
    </row>
    <row ht="15" outlineLevel="0" r="36">
      <c r="B36" s="526" t="s">
        <v>32</v>
      </c>
      <c r="C36" s="526"/>
      <c r="D36" s="526"/>
      <c r="E36" s="527">
        <v>47.2169664667611</v>
      </c>
    </row>
    <row ht="15" outlineLevel="0" r="37">
      <c r="B37" s="526" t="s">
        <v>35</v>
      </c>
      <c r="C37" s="526"/>
      <c r="D37" s="526"/>
      <c r="E37" s="527">
        <v>129.69639439209</v>
      </c>
    </row>
    <row ht="15" outlineLevel="0" r="38">
      <c r="B38" s="526" t="s">
        <v>913</v>
      </c>
      <c r="C38" s="526"/>
      <c r="D38" s="526"/>
      <c r="E38" s="527">
        <v>1036.06658147479</v>
      </c>
    </row>
    <row ht="15" outlineLevel="0" r="39">
      <c r="B39" s="524" t="s">
        <v>914</v>
      </c>
      <c r="C39" s="524"/>
      <c r="D39" s="524"/>
      <c r="E39" s="525">
        <f>+E35-E32</f>
        <v>-346.43224888177</v>
      </c>
    </row>
    <row ht="15" outlineLevel="0" r="40">
      <c r="B40" s="526" t="s">
        <v>915</v>
      </c>
      <c r="C40" s="526"/>
      <c r="D40" s="526"/>
      <c r="E40" s="527">
        <v>0</v>
      </c>
    </row>
    <row ht="15" outlineLevel="0" r="41">
      <c r="B41" s="524" t="s">
        <v>916</v>
      </c>
      <c r="C41" s="524"/>
      <c r="D41" s="524"/>
      <c r="E41" s="525">
        <f>E39+E40</f>
        <v>-346.43224888177</v>
      </c>
    </row>
  </sheetData>
  <mergeCells count="11"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3"/>
  <cols>
    <col min="1" max="1" width="23.49" style="1" customWidth="1"/>
    <col min="2" max="2" width="49.54" style="1" customWidth="1"/>
    <col min="3" max="3" width="43.87" style="1" customWidth="1"/>
    <col min="4" max="4" width="15.39" style="1" customWidth="1"/>
    <col min="5" max="1025" width="8.37" style="1" customWidth="1"/>
  </cols>
  <sheetData>
    <row ht="13.8" outlineLevel="0" r="1">
      <c r="A1" s="2" t="s">
        <v>41</v>
      </c>
      <c r="B1" s="2" t="s">
        <v>42</v>
      </c>
      <c r="C1" s="2" t="s">
        <v>43</v>
      </c>
      <c r="D1" s="2" t="s">
        <v>44</v>
      </c>
    </row>
    <row ht="13.8" outlineLevel="0" r="2">
      <c r="A2" s="1" t="s">
        <v>27</v>
      </c>
      <c r="B2" s="1" t="s">
        <v>45</v>
      </c>
      <c r="C2" s="1" t="s">
        <v>46</v>
      </c>
    </row>
    <row ht="13.8" outlineLevel="0" r="3">
      <c r="A3" s="1" t="s">
        <v>30</v>
      </c>
      <c r="B3" s="1" t="s">
        <v>47</v>
      </c>
      <c r="C3" s="1" t="s">
        <v>48</v>
      </c>
    </row>
    <row ht="13.8" outlineLevel="0" r="4">
      <c r="A4" s="1" t="s">
        <v>8</v>
      </c>
      <c r="B4" s="1" t="s">
        <v>49</v>
      </c>
      <c r="C4" s="1" t="s">
        <v>50</v>
      </c>
    </row>
    <row ht="13.8" outlineLevel="0" r="5">
      <c r="A5" s="1" t="s">
        <v>33</v>
      </c>
      <c r="B5" s="1" t="s">
        <v>51</v>
      </c>
      <c r="C5" s="1" t="s">
        <v>52</v>
      </c>
    </row>
    <row ht="13.8" outlineLevel="0" r="6">
      <c r="A6" s="1" t="s">
        <v>23</v>
      </c>
      <c r="B6" s="1" t="s">
        <v>53</v>
      </c>
      <c r="C6" s="1" t="s">
        <v>54</v>
      </c>
    </row>
    <row ht="13.8" outlineLevel="0" r="7">
      <c r="A7" s="1" t="s">
        <v>55</v>
      </c>
      <c r="B7" s="1" t="s">
        <v>56</v>
      </c>
      <c r="C7" s="1" t="s">
        <v>57</v>
      </c>
    </row>
    <row ht="13.8" outlineLevel="0" r="8">
      <c r="A8" s="1" t="s">
        <v>58</v>
      </c>
      <c r="B8" s="1" t="s">
        <v>59</v>
      </c>
      <c r="C8" s="1" t="s">
        <v>60</v>
      </c>
    </row>
    <row ht="13.8" outlineLevel="0" r="9">
      <c r="A9" s="1" t="s">
        <v>39</v>
      </c>
      <c r="B9" s="1" t="s">
        <v>61</v>
      </c>
      <c r="C9" s="1" t="s">
        <v>62</v>
      </c>
    </row>
    <row ht="13.8" outlineLevel="0" r="10">
      <c r="A10" s="1" t="s">
        <v>63</v>
      </c>
      <c r="B10" s="1" t="s">
        <v>64</v>
      </c>
      <c r="C10" s="1" t="s">
        <v>65</v>
      </c>
    </row>
    <row ht="13.8" outlineLevel="0" r="11">
      <c r="A11" s="1" t="s">
        <v>66</v>
      </c>
      <c r="B11" s="1" t="s">
        <v>67</v>
      </c>
      <c r="C11" s="1" t="s">
        <v>68</v>
      </c>
    </row>
    <row ht="13.8" outlineLevel="0" r="12">
      <c r="A12" s="1" t="s">
        <v>69</v>
      </c>
      <c r="B12" s="1" t="s">
        <v>70</v>
      </c>
      <c r="C12" s="1" t="s">
        <v>71</v>
      </c>
    </row>
    <row ht="13.8" outlineLevel="0" r="13">
      <c r="A13" s="1" t="s">
        <v>72</v>
      </c>
      <c r="B13" s="1" t="s">
        <v>73</v>
      </c>
      <c r="C13" s="1" t="s">
        <v>74</v>
      </c>
    </row>
    <row ht="13.8" outlineLevel="0" r="14">
      <c r="A14" s="1" t="s">
        <v>75</v>
      </c>
      <c r="B14" s="1" t="s">
        <v>76</v>
      </c>
      <c r="C14" s="1" t="s">
        <v>77</v>
      </c>
    </row>
    <row ht="13.8" outlineLevel="0" r="15">
      <c r="A15" s="1" t="s">
        <v>78</v>
      </c>
      <c r="B15" s="1" t="s">
        <v>79</v>
      </c>
      <c r="C15" s="1" t="s">
        <v>80</v>
      </c>
    </row>
    <row ht="13.8" outlineLevel="0" r="16">
      <c r="A16" s="1" t="s">
        <v>81</v>
      </c>
      <c r="B16" s="1" t="s">
        <v>82</v>
      </c>
      <c r="C16" s="1" t="s">
        <v>83</v>
      </c>
    </row>
    <row ht="13.8" outlineLevel="0" r="17">
      <c r="A17" s="1" t="s">
        <v>84</v>
      </c>
      <c r="B17" s="1" t="s">
        <v>85</v>
      </c>
      <c r="C17" s="1" t="s">
        <v>86</v>
      </c>
    </row>
    <row ht="13.8" outlineLevel="0" r="18">
      <c r="A18" s="1" t="s">
        <v>87</v>
      </c>
      <c r="B18" s="1" t="s">
        <v>88</v>
      </c>
      <c r="C18" s="1" t="s">
        <v>89</v>
      </c>
    </row>
    <row ht="13.8" outlineLevel="0" r="19">
      <c r="A19" s="1" t="s">
        <v>90</v>
      </c>
      <c r="B19" s="1" t="s">
        <v>91</v>
      </c>
      <c r="C19" s="1" t="s">
        <v>92</v>
      </c>
    </row>
    <row ht="13.8" outlineLevel="0" r="20">
      <c r="A20" s="1" t="s">
        <v>93</v>
      </c>
      <c r="B20" s="1" t="s">
        <v>94</v>
      </c>
      <c r="C20" s="1" t="s">
        <v>95</v>
      </c>
    </row>
    <row ht="13.8" outlineLevel="0" r="21">
      <c r="A21" s="1" t="s">
        <v>96</v>
      </c>
      <c r="B21" s="1" t="s">
        <v>97</v>
      </c>
      <c r="C21" s="1" t="s">
        <v>98</v>
      </c>
    </row>
    <row ht="13.8" outlineLevel="0" r="22">
      <c r="A22" s="1" t="s">
        <v>99</v>
      </c>
      <c r="B22" s="1" t="s">
        <v>100</v>
      </c>
      <c r="C22" s="1" t="s">
        <v>101</v>
      </c>
    </row>
    <row ht="13.8" outlineLevel="0" r="23">
      <c r="A23" s="1" t="s">
        <v>102</v>
      </c>
      <c r="B23" s="1" t="s">
        <v>103</v>
      </c>
      <c r="C23" s="1" t="s">
        <v>104</v>
      </c>
    </row>
    <row ht="13.8" outlineLevel="0" r="24">
      <c r="A24" s="1" t="s">
        <v>105</v>
      </c>
      <c r="B24" s="1" t="s">
        <v>106</v>
      </c>
      <c r="C24" s="1" t="s">
        <v>107</v>
      </c>
    </row>
    <row ht="13.8" outlineLevel="0" r="25">
      <c r="A25" s="1" t="s">
        <v>108</v>
      </c>
      <c r="B25" s="1" t="s">
        <v>109</v>
      </c>
      <c r="C25" s="1" t="s">
        <v>110</v>
      </c>
    </row>
    <row ht="13.8" outlineLevel="0" r="26">
      <c r="A26" s="1" t="s">
        <v>111</v>
      </c>
      <c r="B26" s="1" t="s">
        <v>112</v>
      </c>
      <c r="C26" s="1" t="s">
        <v>113</v>
      </c>
    </row>
    <row ht="13.8" outlineLevel="0" r="27">
      <c r="A27" s="1" t="s">
        <v>114</v>
      </c>
      <c r="B27" s="1" t="s">
        <v>115</v>
      </c>
      <c r="C27" s="1" t="s">
        <v>116</v>
      </c>
    </row>
    <row ht="13.8" outlineLevel="0" r="28">
      <c r="A28" s="1" t="s">
        <v>117</v>
      </c>
      <c r="B28" s="1" t="s">
        <v>118</v>
      </c>
      <c r="C28" s="1" t="s">
        <v>119</v>
      </c>
    </row>
    <row ht="13.8" outlineLevel="0" r="29">
      <c r="A29" s="1" t="s">
        <v>120</v>
      </c>
      <c r="B29" s="1" t="s">
        <v>121</v>
      </c>
      <c r="C29" s="1" t="s">
        <v>122</v>
      </c>
    </row>
    <row ht="13.8" outlineLevel="0" r="30">
      <c r="A30" s="1" t="s">
        <v>123</v>
      </c>
      <c r="B30" s="1" t="s">
        <v>124</v>
      </c>
      <c r="C30" s="1" t="s">
        <v>125</v>
      </c>
    </row>
    <row ht="13.8" outlineLevel="0" r="31">
      <c r="A31" s="1" t="s">
        <v>126</v>
      </c>
      <c r="B31" s="1" t="s">
        <v>127</v>
      </c>
      <c r="C31" s="1" t="s">
        <v>128</v>
      </c>
    </row>
    <row ht="13.8" outlineLevel="0" r="32">
      <c r="A32" s="1" t="s">
        <v>129</v>
      </c>
      <c r="B32" s="1" t="s">
        <v>130</v>
      </c>
      <c r="C32" s="1" t="s">
        <v>131</v>
      </c>
    </row>
    <row ht="13.8" outlineLevel="0" r="33">
      <c r="A33" s="1" t="s">
        <v>132</v>
      </c>
      <c r="B33" s="1" t="s">
        <v>133</v>
      </c>
      <c r="C33" s="1" t="s">
        <v>134</v>
      </c>
    </row>
    <row ht="13.8" outlineLevel="0" r="34">
      <c r="A34" s="1" t="s">
        <v>135</v>
      </c>
      <c r="B34" s="1" t="s">
        <v>136</v>
      </c>
      <c r="C34" s="1" t="s">
        <v>137</v>
      </c>
    </row>
    <row ht="13.8" outlineLevel="0" r="35">
      <c r="A35" s="1" t="s">
        <v>138</v>
      </c>
      <c r="B35" s="1" t="s">
        <v>139</v>
      </c>
      <c r="C35" s="1" t="s">
        <v>140</v>
      </c>
    </row>
    <row ht="13.8" outlineLevel="0" r="36">
      <c r="A36" s="1" t="s">
        <v>141</v>
      </c>
      <c r="B36" s="1" t="s">
        <v>142</v>
      </c>
      <c r="C36" s="1" t="s">
        <v>143</v>
      </c>
    </row>
    <row ht="13.8" outlineLevel="0" r="37">
      <c r="A37" s="1" t="s">
        <v>144</v>
      </c>
      <c r="B37" s="1" t="s">
        <v>145</v>
      </c>
      <c r="C37" s="1" t="s">
        <v>146</v>
      </c>
    </row>
    <row ht="13.8" outlineLevel="0" r="38">
      <c r="A38" s="1" t="s">
        <v>147</v>
      </c>
      <c r="B38" s="1" t="s">
        <v>148</v>
      </c>
      <c r="C38" s="1" t="s">
        <v>149</v>
      </c>
    </row>
    <row ht="13.8" outlineLevel="0" r="39">
      <c r="A39" s="1" t="s">
        <v>150</v>
      </c>
      <c r="B39" s="1" t="s">
        <v>151</v>
      </c>
      <c r="C39" s="1" t="s">
        <v>152</v>
      </c>
    </row>
    <row ht="13.8" outlineLevel="0" r="40">
      <c r="A40" s="1" t="s">
        <v>153</v>
      </c>
      <c r="B40" s="1" t="s">
        <v>154</v>
      </c>
      <c r="C40" s="1" t="s">
        <v>155</v>
      </c>
    </row>
    <row ht="13.8" outlineLevel="0" r="41">
      <c r="A41" s="1" t="s">
        <v>156</v>
      </c>
      <c r="B41" s="1" t="s">
        <v>157</v>
      </c>
      <c r="C41" s="1" t="s">
        <v>158</v>
      </c>
    </row>
    <row ht="13.8" outlineLevel="0" r="42">
      <c r="A42" s="1" t="s">
        <v>159</v>
      </c>
      <c r="B42" s="1" t="s">
        <v>160</v>
      </c>
      <c r="C42" s="1" t="s">
        <v>161</v>
      </c>
    </row>
    <row ht="13.8" outlineLevel="0" r="43">
      <c r="A43" s="1" t="s">
        <v>162</v>
      </c>
      <c r="B43" s="1" t="s">
        <v>163</v>
      </c>
      <c r="C43" s="1" t="s">
        <v>164</v>
      </c>
    </row>
    <row ht="13.8" outlineLevel="0" r="44">
      <c r="A44" s="1" t="s">
        <v>165</v>
      </c>
      <c r="B44" s="1" t="s">
        <v>166</v>
      </c>
      <c r="C44" s="1" t="s">
        <v>167</v>
      </c>
    </row>
    <row ht="13.8" outlineLevel="0" r="45">
      <c r="A45" s="1" t="s">
        <v>168</v>
      </c>
      <c r="B45" s="1" t="s">
        <v>169</v>
      </c>
      <c r="C45" s="1" t="s">
        <v>170</v>
      </c>
    </row>
    <row ht="13.8" outlineLevel="0" r="46">
      <c r="A46" s="1" t="s">
        <v>171</v>
      </c>
      <c r="B46" s="1" t="s">
        <v>172</v>
      </c>
      <c r="C46" s="1" t="s">
        <v>173</v>
      </c>
    </row>
    <row ht="13.8" outlineLevel="0" r="47">
      <c r="A47" s="1" t="s">
        <v>174</v>
      </c>
      <c r="B47" s="1" t="s">
        <v>175</v>
      </c>
      <c r="C47" s="1" t="s">
        <v>176</v>
      </c>
    </row>
    <row ht="13.8" outlineLevel="0" r="48">
      <c r="A48" s="1" t="s">
        <v>177</v>
      </c>
      <c r="B48" s="1" t="s">
        <v>178</v>
      </c>
      <c r="C48" s="1" t="s">
        <v>179</v>
      </c>
    </row>
    <row ht="13.8" outlineLevel="0" r="49">
      <c r="A49" s="1" t="s">
        <v>180</v>
      </c>
      <c r="B49" s="1" t="s">
        <v>181</v>
      </c>
      <c r="C49" s="1" t="s">
        <v>182</v>
      </c>
    </row>
    <row ht="13.8" outlineLevel="0" r="50">
      <c r="A50" s="1" t="s">
        <v>183</v>
      </c>
      <c r="B50" s="1" t="s">
        <v>184</v>
      </c>
      <c r="C50" s="1" t="s">
        <v>185</v>
      </c>
    </row>
    <row ht="13.8" outlineLevel="0" r="51">
      <c r="A51" s="1" t="s">
        <v>186</v>
      </c>
      <c r="B51" s="1" t="s">
        <v>187</v>
      </c>
      <c r="C51" s="1" t="s">
        <v>188</v>
      </c>
    </row>
    <row ht="13.8" outlineLevel="0" r="52">
      <c r="A52" s="1" t="s">
        <v>189</v>
      </c>
      <c r="B52" s="1" t="s">
        <v>190</v>
      </c>
      <c r="C52" s="1" t="s">
        <v>191</v>
      </c>
    </row>
    <row ht="13.8" outlineLevel="0" r="53">
      <c r="A53" s="1" t="s">
        <v>192</v>
      </c>
      <c r="B53" s="1" t="s">
        <v>193</v>
      </c>
      <c r="C53" s="1" t="s">
        <v>194</v>
      </c>
    </row>
    <row ht="13.8" outlineLevel="0" r="54">
      <c r="A54" s="1" t="s">
        <v>195</v>
      </c>
      <c r="B54" s="1" t="s">
        <v>196</v>
      </c>
      <c r="C54" s="1" t="s">
        <v>197</v>
      </c>
    </row>
    <row ht="13.8" outlineLevel="0" r="55">
      <c r="A55" s="1" t="s">
        <v>198</v>
      </c>
      <c r="B55" s="1" t="s">
        <v>199</v>
      </c>
      <c r="C55" s="1" t="s">
        <v>200</v>
      </c>
    </row>
    <row ht="13.8" outlineLevel="0" r="56">
      <c r="A56" s="1" t="s">
        <v>201</v>
      </c>
      <c r="B56" s="1" t="s">
        <v>202</v>
      </c>
      <c r="C56" s="1" t="s">
        <v>203</v>
      </c>
    </row>
    <row ht="13.8" outlineLevel="0" r="57">
      <c r="A57" s="1" t="s">
        <v>204</v>
      </c>
      <c r="B57" s="1" t="s">
        <v>205</v>
      </c>
      <c r="C57" s="1" t="s">
        <v>206</v>
      </c>
    </row>
    <row ht="13.8" outlineLevel="0" r="58">
      <c r="A58" s="1" t="s">
        <v>207</v>
      </c>
      <c r="B58" s="1" t="s">
        <v>208</v>
      </c>
      <c r="C58" s="1" t="s">
        <v>209</v>
      </c>
    </row>
    <row ht="13.8" outlineLevel="0" r="59">
      <c r="A59" s="1" t="s">
        <v>210</v>
      </c>
      <c r="B59" s="1" t="s">
        <v>211</v>
      </c>
      <c r="C59" s="1" t="s">
        <v>212</v>
      </c>
    </row>
    <row ht="13.8" outlineLevel="0" r="60">
      <c r="A60" s="1" t="s">
        <v>213</v>
      </c>
      <c r="B60" s="1" t="s">
        <v>214</v>
      </c>
      <c r="C60" s="1" t="s">
        <v>215</v>
      </c>
    </row>
    <row ht="13.8" outlineLevel="0" r="61">
      <c r="A61" s="1" t="s">
        <v>216</v>
      </c>
      <c r="B61" s="1" t="s">
        <v>217</v>
      </c>
      <c r="C61" s="1" t="s">
        <v>218</v>
      </c>
    </row>
    <row ht="13.8" outlineLevel="0" r="62">
      <c r="A62" s="1" t="s">
        <v>219</v>
      </c>
      <c r="B62" s="1" t="s">
        <v>220</v>
      </c>
      <c r="C62" s="1" t="s">
        <v>221</v>
      </c>
    </row>
    <row ht="13.8" outlineLevel="0" r="63">
      <c r="A63" s="1" t="s">
        <v>222</v>
      </c>
      <c r="B63" s="1" t="s">
        <v>223</v>
      </c>
      <c r="C63" s="1" t="s">
        <v>224</v>
      </c>
    </row>
    <row ht="13.8" outlineLevel="0" r="64">
      <c r="A64" s="1" t="s">
        <v>225</v>
      </c>
      <c r="B64" s="1" t="s">
        <v>226</v>
      </c>
      <c r="C64" s="1" t="s">
        <v>227</v>
      </c>
    </row>
    <row ht="13.8" outlineLevel="0" r="65">
      <c r="A65" s="1" t="s">
        <v>228</v>
      </c>
      <c r="B65" s="1" t="s">
        <v>229</v>
      </c>
      <c r="C65" s="1" t="s">
        <v>230</v>
      </c>
    </row>
    <row ht="13.8" outlineLevel="0" r="66">
      <c r="A66" s="1" t="s">
        <v>231</v>
      </c>
      <c r="B66" s="1" t="s">
        <v>232</v>
      </c>
      <c r="C66" s="1" t="s">
        <v>233</v>
      </c>
    </row>
    <row ht="13.8" outlineLevel="0" r="67">
      <c r="A67" s="1" t="s">
        <v>234</v>
      </c>
      <c r="B67" s="1" t="s">
        <v>235</v>
      </c>
      <c r="C67" s="1" t="s">
        <v>236</v>
      </c>
    </row>
    <row ht="13.8" outlineLevel="0" r="68">
      <c r="A68" s="1" t="s">
        <v>237</v>
      </c>
      <c r="B68" s="1" t="s">
        <v>238</v>
      </c>
      <c r="C68" s="1" t="s">
        <v>239</v>
      </c>
    </row>
    <row ht="13.8" outlineLevel="0" r="69">
      <c r="A69" s="1" t="s">
        <v>240</v>
      </c>
      <c r="B69" s="1" t="s">
        <v>241</v>
      </c>
      <c r="C69" s="1" t="s">
        <v>242</v>
      </c>
    </row>
    <row ht="13.8" outlineLevel="0" r="70">
      <c r="A70" s="1" t="s">
        <v>243</v>
      </c>
      <c r="B70" s="1" t="s">
        <v>244</v>
      </c>
      <c r="C70" s="1" t="s">
        <v>245</v>
      </c>
    </row>
    <row ht="13.8" outlineLevel="0" r="71">
      <c r="A71" s="1" t="s">
        <v>246</v>
      </c>
      <c r="B71" s="1" t="s">
        <v>247</v>
      </c>
      <c r="C71" s="1" t="s">
        <v>248</v>
      </c>
    </row>
    <row ht="13.8" outlineLevel="0" r="72">
      <c r="A72" s="1" t="s">
        <v>249</v>
      </c>
      <c r="B72" s="1" t="s">
        <v>250</v>
      </c>
      <c r="C72" s="1" t="s">
        <v>251</v>
      </c>
    </row>
    <row ht="13.8" outlineLevel="0" r="73">
      <c r="A73" s="1" t="s">
        <v>252</v>
      </c>
      <c r="B73" s="1" t="s">
        <v>253</v>
      </c>
      <c r="C73" s="1" t="s">
        <v>254</v>
      </c>
    </row>
    <row ht="13.8" outlineLevel="0" r="74">
      <c r="A74" s="1" t="s">
        <v>255</v>
      </c>
      <c r="B74" s="1" t="s">
        <v>256</v>
      </c>
      <c r="C74" s="1" t="s">
        <v>257</v>
      </c>
    </row>
    <row ht="13.8" outlineLevel="0" r="75">
      <c r="A75" s="1" t="s">
        <v>258</v>
      </c>
      <c r="B75" s="1" t="s">
        <v>259</v>
      </c>
      <c r="C75" s="1" t="s">
        <v>260</v>
      </c>
    </row>
    <row ht="13.8" outlineLevel="0" r="76">
      <c r="A76" s="1" t="s">
        <v>261</v>
      </c>
      <c r="B76" s="1" t="s">
        <v>262</v>
      </c>
      <c r="C76" s="1" t="s">
        <v>263</v>
      </c>
    </row>
    <row ht="13.8" outlineLevel="0" r="77">
      <c r="A77" s="1" t="s">
        <v>264</v>
      </c>
      <c r="B77" s="1" t="s">
        <v>265</v>
      </c>
      <c r="C77" s="1" t="s">
        <v>266</v>
      </c>
    </row>
    <row ht="13.8" outlineLevel="0" r="78">
      <c r="A78" s="1" t="s">
        <v>267</v>
      </c>
      <c r="B78" s="1" t="s">
        <v>268</v>
      </c>
      <c r="C78" s="1" t="s">
        <v>269</v>
      </c>
    </row>
    <row ht="13.8" outlineLevel="0" r="79">
      <c r="A79" s="1" t="s">
        <v>36</v>
      </c>
      <c r="B79" s="1" t="s">
        <v>270</v>
      </c>
      <c r="C79" s="1" t="s">
        <v>271</v>
      </c>
      <c r="D79" s="1">
        <v>13</v>
      </c>
    </row>
    <row ht="13.8" outlineLevel="0" r="80">
      <c r="A80" s="1" t="s">
        <v>10</v>
      </c>
      <c r="B80" s="1" t="s">
        <v>11</v>
      </c>
      <c r="C80" s="1" t="s">
        <v>272</v>
      </c>
      <c r="D80" s="1">
        <v>7</v>
      </c>
    </row>
    <row ht="13.8" outlineLevel="0" r="81">
      <c r="A81" s="1" t="s">
        <v>14</v>
      </c>
      <c r="B81" s="1" t="s">
        <v>15</v>
      </c>
      <c r="C81" s="1" t="s">
        <v>273</v>
      </c>
      <c r="D81" s="1">
        <v>8</v>
      </c>
    </row>
    <row ht="13.8" outlineLevel="0" r="82">
      <c r="A82" s="1" t="s">
        <v>16</v>
      </c>
      <c r="B82" s="1" t="s">
        <v>17</v>
      </c>
      <c r="C82" s="1" t="s">
        <v>274</v>
      </c>
      <c r="D82" s="1">
        <v>9</v>
      </c>
    </row>
    <row ht="13.8" outlineLevel="0" r="83">
      <c r="A83" s="1" t="s">
        <v>20</v>
      </c>
      <c r="B83" s="1" t="s">
        <v>21</v>
      </c>
      <c r="C83" s="1" t="s">
        <v>275</v>
      </c>
      <c r="D83" s="1">
        <v>11</v>
      </c>
    </row>
    <row ht="13.8" outlineLevel="0" r="84">
      <c r="A84" s="1" t="s">
        <v>18</v>
      </c>
      <c r="B84" s="1" t="s">
        <v>19</v>
      </c>
      <c r="C84" s="1" t="s">
        <v>276</v>
      </c>
      <c r="D84" s="1">
        <v>10</v>
      </c>
    </row>
    <row ht="13.8" outlineLevel="0" r="85">
      <c r="A85" s="1" t="s">
        <v>277</v>
      </c>
      <c r="B85" s="1" t="s">
        <v>278</v>
      </c>
      <c r="C85" s="1" t="s">
        <v>279</v>
      </c>
      <c r="D85" s="1">
        <v>12</v>
      </c>
    </row>
    <row ht="13.8" outlineLevel="0" r="86">
      <c r="A86" s="1" t="s">
        <v>280</v>
      </c>
      <c r="B86" s="1" t="s">
        <v>281</v>
      </c>
      <c r="C86" s="1" t="s">
        <v>282</v>
      </c>
      <c r="D86" s="1">
        <v>1</v>
      </c>
    </row>
    <row ht="13.8" outlineLevel="0" r="87">
      <c r="A87" s="1" t="s">
        <v>283</v>
      </c>
      <c r="B87" s="1" t="s">
        <v>284</v>
      </c>
      <c r="C87" s="1" t="s">
        <v>285</v>
      </c>
      <c r="D87" s="1">
        <v>2</v>
      </c>
    </row>
    <row ht="13.8" outlineLevel="0" r="88">
      <c r="A88" s="1" t="s">
        <v>286</v>
      </c>
      <c r="B88" s="1" t="s">
        <v>287</v>
      </c>
      <c r="C88" s="1" t="s">
        <v>288</v>
      </c>
      <c r="D88" s="1">
        <v>3</v>
      </c>
    </row>
    <row ht="13.8" outlineLevel="0" r="89">
      <c r="A89" s="1" t="s">
        <v>289</v>
      </c>
      <c r="B89" s="1" t="s">
        <v>290</v>
      </c>
      <c r="C89" s="1" t="s">
        <v>291</v>
      </c>
      <c r="D89" s="1">
        <v>4</v>
      </c>
    </row>
    <row ht="13.8" outlineLevel="0" r="90">
      <c r="A90" s="1" t="s">
        <v>292</v>
      </c>
      <c r="B90" s="1" t="s">
        <v>293</v>
      </c>
      <c r="C90" s="1" t="s">
        <v>294</v>
      </c>
      <c r="D90" s="1">
        <v>5</v>
      </c>
    </row>
    <row ht="13.8" outlineLevel="0" r="91">
      <c r="A91" s="1" t="s">
        <v>295</v>
      </c>
      <c r="B91" s="1" t="s">
        <v>296</v>
      </c>
      <c r="C91" s="1" t="s">
        <v>297</v>
      </c>
      <c r="D91" s="1">
        <v>6</v>
      </c>
    </row>
  </sheetData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00B050"/>
    <pageSetUpPr fitToPage="false"/>
  </sheetPr>
  <sheetViews>
    <sheetView topLeftCell="A1" zoomScale="120" workbookViewId="0" colorId="64" defaultGridColor="true" rightToLeft="false" showFormulas="false" showOutlineSymbols="true" showRowColHeaders="true" showZeros="true" tabSelected="false" view="normal" zoomScaleNormal="120" zoomScalePageLayoutView="100">
      <selection pane="topLeft" activeCell="A1" sqref="A1:F166" activeCellId="0"/>
    </sheetView>
  </sheetViews>
  <sheetFormatPr baseColWidth="8" defaultRowHeight="12"/>
  <cols>
    <col min="1" max="1" width="36.31" style="4" customWidth="1"/>
    <col min="2" max="2" width="13.5" style="4" customWidth="1"/>
    <col min="3" max="3" width="14.31" style="4" customWidth="1"/>
    <col min="4" max="4" width="12.69" style="4" customWidth="1"/>
    <col min="5" max="9" width="11.07" style="4" customWidth="1"/>
    <col min="10" max="10" width="11.2" style="4" customWidth="1"/>
    <col min="11" max="11" width="10.8" style="4" customWidth="1"/>
    <col min="12" max="12" width="17.41" style="4" customWidth="1"/>
    <col min="13" max="34" width="14.85" style="4" customWidth="1"/>
    <col min="35" max="35" width="15.93" style="4" customWidth="1"/>
    <col min="36" max="50" width="14.85" style="4" customWidth="1"/>
    <col min="51" max="55" width="14.58" style="4" customWidth="1"/>
    <col min="56" max="58" width="15.53" style="4" customWidth="1"/>
    <col min="59" max="63" width="14.58" style="4" customWidth="1"/>
    <col min="64" max="64" width="14.85" style="4" customWidth="1"/>
    <col min="65" max="65" width="15.12" style="4" customWidth="1"/>
    <col min="66" max="68" width="14.85" style="4" customWidth="1"/>
    <col min="69" max="69" width="14.58" style="4" customWidth="1"/>
    <col min="70" max="77" width="14.85" style="4" customWidth="1"/>
    <col min="78" max="78" width="14.58" style="4" customWidth="1"/>
    <col min="79" max="82" width="14.85" style="4" customWidth="1"/>
    <col min="83" max="83" width="14.58" style="4" customWidth="1"/>
    <col min="84" max="86" width="14.85" style="4" customWidth="1"/>
    <col min="87" max="87" width="14.85" style="5" customWidth="1"/>
    <col min="88" max="88" width="14.85" style="4" customWidth="1"/>
    <col min="89" max="89" width="14.44" style="4" customWidth="1"/>
    <col min="90" max="90" width="15.53" style="4" customWidth="1"/>
    <col min="91" max="91" width="16.33" style="4" customWidth="1"/>
    <col min="92" max="92" width="15.93" style="4" customWidth="1"/>
    <col min="93" max="93" width="14.58" style="4" customWidth="1"/>
    <col min="94" max="94" width="14.85" style="4" customWidth="1"/>
    <col min="95" max="95" width="17.68" style="4" customWidth="1"/>
    <col min="96" max="96" width="16.07" style="4" customWidth="1"/>
    <col min="97" max="97" width="15.53" style="4" customWidth="1"/>
    <col min="98" max="98" width="15.39" style="4" customWidth="1"/>
    <col min="99" max="99" width="15.93" style="4" customWidth="1"/>
    <col min="100" max="101" width="15.53" style="4" customWidth="1"/>
    <col min="102" max="102" width="16.2" style="4" customWidth="1"/>
    <col min="103" max="103" width="15.93" style="4" customWidth="1"/>
    <col min="104" max="104" width="16.47" style="4" customWidth="1"/>
    <col min="105" max="107" width="14.85" style="4" customWidth="1"/>
    <col min="108" max="108" width="16.2" style="4" customWidth="1"/>
    <col min="109" max="109" width="16.47" style="4" customWidth="1"/>
    <col min="110" max="110" width="16.2" style="4" customWidth="1"/>
    <col min="111" max="113" width="14.85" style="4" customWidth="1"/>
    <col min="114" max="114" width="19.17" style="4" customWidth="1"/>
    <col min="115" max="117" width="16.33" style="4" customWidth="1"/>
    <col min="118" max="118" width="16.47" style="4" customWidth="1"/>
    <col min="119" max="119" width="17.95" style="4" customWidth="1"/>
    <col min="120" max="120" width="15.53" style="4" customWidth="1"/>
    <col min="121" max="133" width="14.85" style="4" customWidth="1"/>
    <col min="134" max="134" width="18.22" style="4" customWidth="1"/>
    <col min="135" max="135" width="17.28" style="4" customWidth="1"/>
    <col min="136" max="136" width="15.53" style="4" customWidth="1"/>
    <col min="137" max="137" width="14.44" style="4" customWidth="1"/>
    <col min="138" max="139" width="15.93" style="4" customWidth="1"/>
    <col min="140" max="145" width="14.85" style="4" customWidth="1"/>
    <col min="146" max="149" width="15.93" style="4" customWidth="1"/>
    <col min="150" max="152" width="15.53" style="4" customWidth="1"/>
    <col min="153" max="153" width="16.87" style="4" customWidth="1"/>
    <col min="154" max="154" width="21.73" style="4" customWidth="1"/>
    <col min="155" max="1025" width="8.37" style="4" customWidth="1"/>
  </cols>
  <sheetData>
    <row ht="12.8" outlineLevel="0" r="1">
      <c r="A1" s="4" t="s">
        <v>298</v>
      </c>
      <c r="B1" s="6">
        <v>39814</v>
      </c>
      <c r="C1" s="6">
        <v>39845</v>
      </c>
      <c r="D1" s="6">
        <v>39873</v>
      </c>
      <c r="E1" s="6">
        <v>39904</v>
      </c>
      <c r="F1" s="6">
        <v>39934</v>
      </c>
      <c r="G1" s="6">
        <v>39965</v>
      </c>
      <c r="H1" s="6">
        <v>39995</v>
      </c>
      <c r="I1" s="6">
        <v>40026</v>
      </c>
      <c r="J1" s="6">
        <v>40057</v>
      </c>
      <c r="K1" s="6">
        <v>40087</v>
      </c>
      <c r="L1" s="6">
        <v>40118</v>
      </c>
      <c r="M1" s="6">
        <v>40148</v>
      </c>
      <c r="N1" s="6">
        <v>40179</v>
      </c>
      <c r="O1" s="6">
        <v>40210</v>
      </c>
      <c r="P1" s="6">
        <v>40238</v>
      </c>
      <c r="Q1" s="6">
        <v>40269</v>
      </c>
      <c r="R1" s="6">
        <v>40299</v>
      </c>
      <c r="S1" s="6">
        <v>40330</v>
      </c>
      <c r="T1" s="6">
        <v>40360</v>
      </c>
      <c r="U1" s="6">
        <v>40391</v>
      </c>
      <c r="V1" s="6">
        <v>40422</v>
      </c>
      <c r="W1" s="6">
        <v>40452</v>
      </c>
      <c r="X1" s="6">
        <v>40483</v>
      </c>
      <c r="Y1" s="6">
        <v>40513</v>
      </c>
      <c r="Z1" s="6">
        <v>40544</v>
      </c>
      <c r="AA1" s="6">
        <v>40575</v>
      </c>
      <c r="AB1" s="6">
        <v>40603</v>
      </c>
      <c r="AC1" s="6">
        <v>40634</v>
      </c>
      <c r="AD1" s="6">
        <v>40664</v>
      </c>
      <c r="AE1" s="6">
        <v>40695</v>
      </c>
      <c r="AF1" s="6">
        <v>40725</v>
      </c>
      <c r="AG1" s="6">
        <v>40756</v>
      </c>
      <c r="AH1" s="6">
        <v>40787</v>
      </c>
      <c r="AI1" s="6">
        <v>40817</v>
      </c>
      <c r="AJ1" s="6">
        <v>40848</v>
      </c>
      <c r="AK1" s="6">
        <v>40878</v>
      </c>
      <c r="AL1" s="6">
        <v>40909</v>
      </c>
      <c r="AM1" s="6">
        <v>40940</v>
      </c>
      <c r="AN1" s="6">
        <v>40969</v>
      </c>
      <c r="AO1" s="6">
        <v>41000</v>
      </c>
      <c r="AP1" s="6">
        <v>41030</v>
      </c>
      <c r="AQ1" s="6">
        <v>41061</v>
      </c>
      <c r="AR1" s="6">
        <v>41091</v>
      </c>
      <c r="AS1" s="6">
        <v>41122</v>
      </c>
      <c r="AT1" s="6">
        <v>41153</v>
      </c>
      <c r="AU1" s="6">
        <v>41183</v>
      </c>
      <c r="AV1" s="6">
        <v>41214</v>
      </c>
      <c r="AW1" s="6">
        <v>41244</v>
      </c>
      <c r="AX1" s="6">
        <v>41275</v>
      </c>
      <c r="AY1" s="6">
        <v>41306</v>
      </c>
      <c r="AZ1" s="6">
        <v>41334</v>
      </c>
      <c r="BA1" s="6">
        <v>41365</v>
      </c>
      <c r="BB1" s="6">
        <v>41395</v>
      </c>
      <c r="BC1" s="6">
        <v>41426</v>
      </c>
      <c r="BD1" s="6">
        <v>41456</v>
      </c>
      <c r="BE1" s="6">
        <v>41487</v>
      </c>
      <c r="BF1" s="6">
        <v>41518</v>
      </c>
      <c r="BG1" s="6">
        <v>41548</v>
      </c>
      <c r="BH1" s="6">
        <v>41579</v>
      </c>
      <c r="BI1" s="6">
        <v>41609</v>
      </c>
      <c r="BJ1" s="6">
        <v>41640</v>
      </c>
      <c r="BK1" s="6">
        <v>41671</v>
      </c>
      <c r="BL1" s="6">
        <v>41699</v>
      </c>
      <c r="BM1" s="6">
        <v>41730</v>
      </c>
      <c r="BN1" s="6">
        <v>41760</v>
      </c>
      <c r="BO1" s="6">
        <v>41791</v>
      </c>
      <c r="BP1" s="6">
        <v>41821</v>
      </c>
      <c r="BQ1" s="6">
        <v>41852</v>
      </c>
      <c r="BR1" s="6">
        <v>41883</v>
      </c>
      <c r="BS1" s="6">
        <v>41913</v>
      </c>
      <c r="BT1" s="6">
        <v>41944</v>
      </c>
      <c r="BU1" s="6">
        <v>41974</v>
      </c>
      <c r="BV1" s="6">
        <v>42005</v>
      </c>
      <c r="BW1" s="6">
        <v>42036</v>
      </c>
      <c r="BX1" s="6">
        <v>42064</v>
      </c>
      <c r="BY1" s="6">
        <v>42095</v>
      </c>
      <c r="BZ1" s="6">
        <v>42125</v>
      </c>
      <c r="CA1" s="6">
        <v>42156</v>
      </c>
      <c r="CB1" s="6">
        <v>42186</v>
      </c>
      <c r="CC1" s="6">
        <v>42217</v>
      </c>
      <c r="CD1" s="6">
        <v>42248</v>
      </c>
      <c r="CE1" s="6">
        <v>42278</v>
      </c>
      <c r="CF1" s="6">
        <v>42309</v>
      </c>
      <c r="CG1" s="6">
        <v>42339</v>
      </c>
      <c r="CH1" s="6">
        <v>42370</v>
      </c>
      <c r="CI1" s="6">
        <v>42401</v>
      </c>
      <c r="CJ1" s="6">
        <v>42430</v>
      </c>
      <c r="CK1" s="6">
        <v>42461</v>
      </c>
      <c r="CL1" s="6">
        <v>42491</v>
      </c>
      <c r="CM1" s="6">
        <v>42522</v>
      </c>
      <c r="CN1" s="6">
        <v>42552</v>
      </c>
      <c r="CO1" s="6">
        <v>42583</v>
      </c>
      <c r="CP1" s="6">
        <v>42614</v>
      </c>
      <c r="CQ1" s="6">
        <v>42644</v>
      </c>
      <c r="CR1" s="6">
        <v>42675</v>
      </c>
      <c r="CS1" s="6">
        <v>42705</v>
      </c>
      <c r="CT1" s="6">
        <v>42736</v>
      </c>
      <c r="CU1" s="6">
        <v>42767</v>
      </c>
      <c r="CV1" s="6">
        <v>42795</v>
      </c>
      <c r="CW1" s="6">
        <v>42826</v>
      </c>
      <c r="CX1" s="6">
        <v>42856</v>
      </c>
      <c r="CY1" s="6">
        <v>42887</v>
      </c>
      <c r="CZ1" s="6">
        <v>42917</v>
      </c>
      <c r="DA1" s="6">
        <v>42948</v>
      </c>
      <c r="DB1" s="6">
        <v>42979</v>
      </c>
      <c r="DC1" s="6">
        <v>43009</v>
      </c>
      <c r="DD1" s="6">
        <v>43040</v>
      </c>
      <c r="DE1" s="6">
        <v>43070</v>
      </c>
      <c r="DF1" s="6">
        <v>43101</v>
      </c>
      <c r="DG1" s="6">
        <v>43132</v>
      </c>
      <c r="DH1" s="6">
        <v>43160</v>
      </c>
      <c r="DI1" s="6">
        <v>43191</v>
      </c>
      <c r="DJ1" s="6">
        <v>43221</v>
      </c>
      <c r="DK1" s="6">
        <v>43252</v>
      </c>
      <c r="DL1" s="6">
        <v>43282</v>
      </c>
      <c r="DM1" s="6">
        <v>43313</v>
      </c>
      <c r="DN1" s="6">
        <v>43344</v>
      </c>
      <c r="DO1" s="6">
        <v>43374</v>
      </c>
      <c r="DP1" s="6">
        <v>43405</v>
      </c>
      <c r="DQ1" s="6">
        <v>43435</v>
      </c>
      <c r="DR1" s="6">
        <v>43466</v>
      </c>
      <c r="DS1" s="6">
        <v>43497</v>
      </c>
      <c r="DT1" s="6">
        <v>43525</v>
      </c>
      <c r="DU1" s="6">
        <v>43556</v>
      </c>
      <c r="DV1" s="6">
        <v>43586</v>
      </c>
      <c r="DW1" s="6">
        <v>43617</v>
      </c>
      <c r="DX1" s="6">
        <v>43647</v>
      </c>
      <c r="DY1" s="6">
        <v>43678</v>
      </c>
      <c r="DZ1" s="6">
        <v>43709</v>
      </c>
      <c r="EA1" s="6">
        <v>43739</v>
      </c>
      <c r="EB1" s="6">
        <v>43770</v>
      </c>
      <c r="EC1" s="6">
        <v>43800</v>
      </c>
      <c r="ED1" s="6">
        <v>43831</v>
      </c>
      <c r="EE1" s="6">
        <v>43862</v>
      </c>
      <c r="EF1" s="6">
        <v>43891</v>
      </c>
      <c r="EG1" s="6">
        <v>43922</v>
      </c>
      <c r="EH1" s="6">
        <v>43952</v>
      </c>
      <c r="EI1" s="6">
        <v>43983</v>
      </c>
      <c r="EJ1" s="6">
        <v>44013</v>
      </c>
      <c r="EK1" s="6">
        <v>44044</v>
      </c>
      <c r="EL1" s="6">
        <v>44075</v>
      </c>
      <c r="EM1" s="6">
        <v>44105</v>
      </c>
      <c r="EN1" s="6">
        <v>44136</v>
      </c>
      <c r="EO1" s="6">
        <v>44166</v>
      </c>
      <c r="EP1" s="6">
        <v>44197</v>
      </c>
      <c r="EQ1" s="6">
        <v>44228</v>
      </c>
      <c r="ER1" s="6">
        <v>44256</v>
      </c>
      <c r="ES1" s="6">
        <v>44287</v>
      </c>
      <c r="ET1" s="6">
        <v>44317</v>
      </c>
      <c r="EU1" s="6">
        <v>44348</v>
      </c>
      <c r="EV1" s="6">
        <v>44378</v>
      </c>
      <c r="EW1" s="6">
        <v>44409</v>
      </c>
      <c r="EX1" s="6">
        <v>44440</v>
      </c>
    </row>
    <row ht="12.8" outlineLevel="0" r="2">
      <c r="A2" s="4" t="s">
        <v>299</v>
      </c>
      <c r="B2" s="7">
        <v>69257492.98</v>
      </c>
      <c r="C2" s="7">
        <v>50764604.89</v>
      </c>
      <c r="D2" s="7">
        <v>61517793.66</v>
      </c>
      <c r="E2" s="7">
        <v>64982017.91</v>
      </c>
      <c r="F2" s="7">
        <v>58747469.75</v>
      </c>
      <c r="G2" s="7">
        <v>57574222.31</v>
      </c>
      <c r="H2" s="7">
        <v>66458079.33</v>
      </c>
      <c r="I2" s="7">
        <v>64313670.69</v>
      </c>
      <c r="J2" s="7">
        <v>54551301.82</v>
      </c>
      <c r="K2" s="7">
        <v>72104459.33</v>
      </c>
      <c r="L2" s="7">
        <v>73042244.27</v>
      </c>
      <c r="M2" s="7">
        <v>82093401.57</v>
      </c>
      <c r="N2" s="7">
        <v>79096904.64</v>
      </c>
      <c r="O2" s="7">
        <v>58386666.75</v>
      </c>
      <c r="P2" s="7">
        <v>68814666.7</v>
      </c>
      <c r="Q2" s="7">
        <v>80114836.48</v>
      </c>
      <c r="R2" s="7">
        <v>67671686.34</v>
      </c>
      <c r="S2" s="7">
        <v>62766091.28</v>
      </c>
      <c r="T2" s="7">
        <v>75145972.9</v>
      </c>
      <c r="U2" s="7">
        <v>72770559.65</v>
      </c>
      <c r="V2" s="7">
        <v>75254213.33</v>
      </c>
      <c r="W2" s="7">
        <v>75590478.82</v>
      </c>
      <c r="X2" s="7">
        <v>73420884.87</v>
      </c>
      <c r="Y2" s="7">
        <v>101104071.19</v>
      </c>
      <c r="Z2" s="7">
        <v>98850476.27</v>
      </c>
      <c r="AA2" s="7">
        <v>69024623.38</v>
      </c>
      <c r="AB2" s="7">
        <v>79900436.82</v>
      </c>
      <c r="AC2" s="7">
        <v>91545574.3</v>
      </c>
      <c r="AD2" s="7">
        <v>79761910.38</v>
      </c>
      <c r="AE2" s="7">
        <v>80121807.75</v>
      </c>
      <c r="AF2" s="7">
        <v>95672501.17</v>
      </c>
      <c r="AG2" s="7">
        <v>78221638.16</v>
      </c>
      <c r="AH2" s="8">
        <v>81830722.69</v>
      </c>
      <c r="AI2" s="8">
        <v>90970013.47</v>
      </c>
      <c r="AJ2" s="8">
        <v>79939227.93</v>
      </c>
      <c r="AK2" s="8">
        <v>103774535.5</v>
      </c>
      <c r="AL2" s="8">
        <v>114840707.07</v>
      </c>
      <c r="AM2" s="8">
        <v>80063512.39</v>
      </c>
      <c r="AN2" s="8">
        <v>88876450.71</v>
      </c>
      <c r="AO2" s="8">
        <v>99149392.49</v>
      </c>
      <c r="AP2" s="8">
        <v>83672263.67</v>
      </c>
      <c r="AQ2" s="8">
        <v>82829611.39</v>
      </c>
      <c r="AR2" s="8">
        <v>115220407.71</v>
      </c>
      <c r="AS2" s="8">
        <v>84983459.95</v>
      </c>
      <c r="AT2" s="8">
        <v>84950161.37</v>
      </c>
      <c r="AU2" s="8">
        <f>SUM(AU3:AU11)</f>
        <v>95364818.14</v>
      </c>
      <c r="AV2" s="8">
        <v>85932927.51</v>
      </c>
      <c r="AW2" s="8">
        <v>118833622.35</v>
      </c>
      <c r="AX2" s="8">
        <v>126841985.22</v>
      </c>
      <c r="AY2" s="8">
        <v>79486819.65</v>
      </c>
      <c r="AZ2" s="8">
        <v>84923816.25</v>
      </c>
      <c r="BA2" s="8">
        <v>106198175.09</v>
      </c>
      <c r="BB2" s="8">
        <v>93717811.21</v>
      </c>
      <c r="BC2" s="8">
        <v>92472526.67</v>
      </c>
      <c r="BD2" s="8">
        <v>104385052.37</v>
      </c>
      <c r="BE2" s="8">
        <v>90745632.15</v>
      </c>
      <c r="BF2" s="8">
        <v>90630450.64</v>
      </c>
      <c r="BG2" s="8">
        <v>102448191.65</v>
      </c>
      <c r="BH2" s="8">
        <v>107515334.77</v>
      </c>
      <c r="BI2" s="8">
        <v>140280013.35</v>
      </c>
      <c r="BJ2" s="8">
        <v>132695099.29</v>
      </c>
      <c r="BK2" s="8">
        <v>89524155.29</v>
      </c>
      <c r="BL2" s="8">
        <v>96970196.82</v>
      </c>
      <c r="BM2" s="8">
        <v>111486667.61</v>
      </c>
      <c r="BN2" s="8">
        <v>92579635.89</v>
      </c>
      <c r="BO2" s="8">
        <v>94449085</v>
      </c>
      <c r="BP2" s="8">
        <v>105825792.32</v>
      </c>
      <c r="BQ2" s="8">
        <v>98848148.34</v>
      </c>
      <c r="BR2" s="8">
        <v>91865259.41</v>
      </c>
      <c r="BS2" s="8">
        <v>105702064.85</v>
      </c>
      <c r="BT2" s="8">
        <v>98935498.64</v>
      </c>
      <c r="BU2" s="8">
        <v>124398528.7</v>
      </c>
      <c r="BV2" s="8">
        <v>132283917.213</v>
      </c>
      <c r="BW2" s="8">
        <v>91580663.835</v>
      </c>
      <c r="BX2" s="8">
        <v>103123423.907</v>
      </c>
      <c r="BY2" s="8">
        <v>115074212.016</v>
      </c>
      <c r="BZ2" s="8">
        <v>102495218.268</v>
      </c>
      <c r="CA2" s="8">
        <v>99313236.365</v>
      </c>
      <c r="CB2" s="9">
        <v>112863388.678</v>
      </c>
      <c r="CC2" s="9">
        <v>97829593.63</v>
      </c>
      <c r="CD2" s="9">
        <v>98424774.281</v>
      </c>
      <c r="CE2" s="9">
        <v>107275066.698</v>
      </c>
      <c r="CF2" s="9">
        <v>95406948.377</v>
      </c>
      <c r="CG2" s="9">
        <v>126844358.347</v>
      </c>
      <c r="CH2" s="9">
        <v>151816028.03244</v>
      </c>
      <c r="CI2" s="9">
        <v>92155355.22034</v>
      </c>
      <c r="CJ2" s="9">
        <v>105253255.10462</v>
      </c>
      <c r="CK2" s="9">
        <v>118572042.71527</v>
      </c>
      <c r="CL2" s="10">
        <v>98323547.1219299</v>
      </c>
      <c r="CM2" s="10">
        <v>102572074.68071</v>
      </c>
      <c r="CN2" s="10">
        <v>116204978.73611</v>
      </c>
      <c r="CO2" s="10">
        <v>94048914.61401</v>
      </c>
      <c r="CP2" s="10">
        <v>96568424.60621</v>
      </c>
      <c r="CQ2" s="10">
        <v>150904344.88824</v>
      </c>
      <c r="CR2" s="10">
        <v>102367927.89587</v>
      </c>
      <c r="CS2" s="10">
        <v>131762967.64525</v>
      </c>
      <c r="CT2" s="10">
        <v>160667358.867</v>
      </c>
      <c r="CU2" s="10">
        <v>96533782.159</v>
      </c>
      <c r="CV2" s="10">
        <v>108725317.667</v>
      </c>
      <c r="CW2" s="10">
        <v>124890720.984</v>
      </c>
      <c r="CX2" s="10">
        <v>101688511.588</v>
      </c>
      <c r="CY2" s="10">
        <v>107351623.97</v>
      </c>
      <c r="CZ2" s="10">
        <v>118780449.454</v>
      </c>
      <c r="DA2" s="10">
        <v>110517422.217</v>
      </c>
      <c r="DB2" s="10">
        <v>106465524.115</v>
      </c>
      <c r="DC2" s="10">
        <v>122574702.732</v>
      </c>
      <c r="DD2" s="10">
        <v>128413044.509</v>
      </c>
      <c r="DE2" s="10">
        <v>121291589.074</v>
      </c>
      <c r="DF2" s="10">
        <v>168880339.53</v>
      </c>
      <c r="DG2" s="10">
        <v>107917946.035</v>
      </c>
      <c r="DH2" s="10">
        <v>110569634.446</v>
      </c>
      <c r="DI2" s="10">
        <v>138203143.405</v>
      </c>
      <c r="DJ2" s="10">
        <v>121518719.489</v>
      </c>
      <c r="DK2" s="10">
        <v>109891188.187</v>
      </c>
      <c r="DL2" s="10">
        <v>134933158.291</v>
      </c>
      <c r="DM2" s="10">
        <v>117236922.306</v>
      </c>
      <c r="DN2" s="10">
        <v>115388164.614</v>
      </c>
      <c r="DO2" s="10">
        <v>133164560.81</v>
      </c>
      <c r="DP2" s="10">
        <v>126513978.631</v>
      </c>
      <c r="DQ2" s="10">
        <v>151444839.581</v>
      </c>
      <c r="DR2" s="10">
        <v>170747517.499</v>
      </c>
      <c r="DS2" s="10">
        <v>118801942.431</v>
      </c>
      <c r="DT2" s="10">
        <v>119516867.26</v>
      </c>
      <c r="DU2" s="10">
        <v>145021290.228</v>
      </c>
      <c r="DV2" s="10">
        <v>124260226.602</v>
      </c>
      <c r="DW2" s="10">
        <v>116969555.749</v>
      </c>
      <c r="DX2" s="10">
        <v>145644855.194</v>
      </c>
      <c r="DY2" s="10">
        <v>120579863.662</v>
      </c>
      <c r="DZ2" s="10">
        <v>124132946.47</v>
      </c>
      <c r="EA2" s="10">
        <v>140328947.193</v>
      </c>
      <c r="EB2" s="10">
        <v>129269360.315</v>
      </c>
      <c r="EC2" s="10">
        <v>235738164.11</v>
      </c>
      <c r="ED2" s="10">
        <v>183932107.146</v>
      </c>
      <c r="EE2" s="10">
        <v>119096266.231</v>
      </c>
      <c r="EF2" s="10">
        <v>112398100.214</v>
      </c>
      <c r="EG2" s="10">
        <v>101917096.759</v>
      </c>
      <c r="EH2" s="10">
        <v>77955802.026</v>
      </c>
      <c r="EI2" s="10">
        <v>92556764.526</v>
      </c>
      <c r="EJ2" s="10">
        <v>118609309.928</v>
      </c>
      <c r="EK2" s="10">
        <v>122773120.065</v>
      </c>
      <c r="EL2" s="10">
        <v>123530542.77</v>
      </c>
      <c r="EM2" s="10">
        <v>156455098.38</v>
      </c>
      <c r="EN2" s="10">
        <v>141191714.924</v>
      </c>
      <c r="EO2" s="10">
        <v>163270607.117</v>
      </c>
      <c r="EP2" s="10">
        <v>199493878.641</v>
      </c>
      <c r="EQ2" s="10">
        <v>132548387.454</v>
      </c>
      <c r="ER2" s="10">
        <v>146110981.912</v>
      </c>
      <c r="ES2" s="10">
        <v>167420978.526</v>
      </c>
      <c r="ET2" s="10">
        <f>+SUM(ET3:ET11)</f>
        <v>156419886.919</v>
      </c>
      <c r="EU2" s="10">
        <f>+SUM(EU3:EU11)</f>
        <v>132258394.277</v>
      </c>
      <c r="EV2" s="10">
        <f>+SUM(EV3:EV11)</f>
        <v>175450661.01</v>
      </c>
      <c r="EW2" s="10">
        <f>+SUM(EW3:EW11)</f>
        <v>153102346.111</v>
      </c>
      <c r="EX2" s="10">
        <f>+SUM(EX3:EX11)</f>
        <v>154240617.52594</v>
      </c>
    </row>
    <row ht="12.8" outlineLevel="0" r="3">
      <c r="A3" s="4" t="s">
        <v>300</v>
      </c>
      <c r="B3" s="7">
        <v>26035466.89</v>
      </c>
      <c r="C3" s="7">
        <v>15851465.77</v>
      </c>
      <c r="D3" s="7">
        <v>22324837.62</v>
      </c>
      <c r="E3" s="7">
        <v>22086411.11</v>
      </c>
      <c r="F3" s="7">
        <v>17467064.41</v>
      </c>
      <c r="G3" s="7">
        <v>18921603.17</v>
      </c>
      <c r="H3" s="7">
        <v>19397354.97</v>
      </c>
      <c r="I3" s="7">
        <v>16080350.4</v>
      </c>
      <c r="J3" s="7">
        <v>17269744.56</v>
      </c>
      <c r="K3" s="7">
        <v>23570343.32</v>
      </c>
      <c r="L3" s="7">
        <v>19653225.72</v>
      </c>
      <c r="M3" s="7">
        <v>21940417.59</v>
      </c>
      <c r="N3" s="7">
        <v>27442231</v>
      </c>
      <c r="O3" s="7">
        <v>17222581.52</v>
      </c>
      <c r="P3" s="7">
        <v>23528357.24</v>
      </c>
      <c r="Q3" s="7">
        <v>27517300.23</v>
      </c>
      <c r="R3" s="7">
        <v>20757442.34</v>
      </c>
      <c r="S3" s="7">
        <v>20453382.19</v>
      </c>
      <c r="T3" s="7">
        <v>22131782.13</v>
      </c>
      <c r="U3" s="7">
        <v>21316777.75</v>
      </c>
      <c r="V3" s="7">
        <v>21207272.06</v>
      </c>
      <c r="W3" s="7">
        <v>25232896.75</v>
      </c>
      <c r="X3" s="7">
        <v>23378163.85</v>
      </c>
      <c r="Y3" s="7">
        <v>31626733.96</v>
      </c>
      <c r="Z3" s="7">
        <v>37799093.82</v>
      </c>
      <c r="AA3" s="7">
        <v>20937239.55</v>
      </c>
      <c r="AB3" s="7">
        <v>27856659.3</v>
      </c>
      <c r="AC3" s="7">
        <v>33562424.1</v>
      </c>
      <c r="AD3" s="7">
        <v>25602200.23</v>
      </c>
      <c r="AE3" s="7">
        <v>26534074.54</v>
      </c>
      <c r="AF3" s="7">
        <v>29674508.6</v>
      </c>
      <c r="AG3" s="7">
        <v>22289291.86</v>
      </c>
      <c r="AH3" s="11">
        <v>24254598.85</v>
      </c>
      <c r="AI3" s="11">
        <v>32508444.38</v>
      </c>
      <c r="AJ3" s="11">
        <v>26707348.93</v>
      </c>
      <c r="AK3" s="11">
        <v>30922944.03</v>
      </c>
      <c r="AL3" s="11">
        <v>41892453.41</v>
      </c>
      <c r="AM3" s="11">
        <v>24031752.97</v>
      </c>
      <c r="AN3" s="11">
        <v>30648061.32</v>
      </c>
      <c r="AO3" s="11">
        <v>37427449.59</v>
      </c>
      <c r="AP3" s="11">
        <v>26315101.15</v>
      </c>
      <c r="AQ3" s="11">
        <v>27182061.82</v>
      </c>
      <c r="AR3" s="11">
        <v>22271449.44</v>
      </c>
      <c r="AS3" s="11">
        <v>22459440.74</v>
      </c>
      <c r="AT3" s="11">
        <v>24180345.74</v>
      </c>
      <c r="AU3" s="11">
        <v>30059508.75</v>
      </c>
      <c r="AV3" s="11">
        <v>28493879.54</v>
      </c>
      <c r="AW3" s="11">
        <v>32790519.07</v>
      </c>
      <c r="AX3" s="11">
        <v>47043033.86</v>
      </c>
      <c r="AY3" s="11">
        <v>24562820.85</v>
      </c>
      <c r="AZ3" s="11">
        <v>27144607.36</v>
      </c>
      <c r="BA3" s="11">
        <v>38629947.19</v>
      </c>
      <c r="BB3" s="11">
        <v>29604747.54</v>
      </c>
      <c r="BC3" s="11">
        <v>27790807.74</v>
      </c>
      <c r="BD3" s="11">
        <v>30730162.37</v>
      </c>
      <c r="BE3" s="11">
        <v>24864652.05</v>
      </c>
      <c r="BF3" s="11">
        <v>26785926.6</v>
      </c>
      <c r="BG3" s="11">
        <v>33881013.3</v>
      </c>
      <c r="BH3" s="11">
        <v>29221236.59</v>
      </c>
      <c r="BI3" s="11">
        <v>35783433.93</v>
      </c>
      <c r="BJ3" s="11">
        <v>49996767.53</v>
      </c>
      <c r="BK3" s="11">
        <v>26758678.47</v>
      </c>
      <c r="BL3" s="11">
        <v>32230783.87</v>
      </c>
      <c r="BM3" s="12">
        <v>40394404.63</v>
      </c>
      <c r="BN3" s="12">
        <v>29696958.61</v>
      </c>
      <c r="BO3" s="12">
        <v>30125831.56</v>
      </c>
      <c r="BP3" s="12">
        <v>31838606.26</v>
      </c>
      <c r="BQ3" s="12">
        <v>27940221.9</v>
      </c>
      <c r="BR3" s="12">
        <v>27574187.26</v>
      </c>
      <c r="BS3" s="12">
        <v>34375746.68</v>
      </c>
      <c r="BT3" s="12">
        <v>30942243.54</v>
      </c>
      <c r="BU3" s="12">
        <v>38672166.47</v>
      </c>
      <c r="BV3" s="12">
        <v>49854925.748</v>
      </c>
      <c r="BW3" s="12">
        <v>30134302.949</v>
      </c>
      <c r="BX3" s="12">
        <v>37066829.988</v>
      </c>
      <c r="BY3" s="12">
        <v>42683953.077</v>
      </c>
      <c r="BZ3" s="12">
        <v>32714151.832</v>
      </c>
      <c r="CA3" s="12">
        <v>33851171.704</v>
      </c>
      <c r="CB3" s="5">
        <v>33487289.581</v>
      </c>
      <c r="CC3" s="5">
        <v>28215694.33</v>
      </c>
      <c r="CD3" s="5">
        <v>31516760.677</v>
      </c>
      <c r="CE3" s="5">
        <v>36361475.51</v>
      </c>
      <c r="CF3" s="5">
        <v>29267799.687</v>
      </c>
      <c r="CG3" s="13">
        <v>39520272.204</v>
      </c>
      <c r="CH3" s="13">
        <v>53297286.17426</v>
      </c>
      <c r="CI3" s="5">
        <v>28755399.69375</v>
      </c>
      <c r="CJ3" s="5">
        <v>35110367.08224</v>
      </c>
      <c r="CK3" s="5">
        <v>45319704.07293</v>
      </c>
      <c r="CL3" s="7">
        <v>31668565.6089</v>
      </c>
      <c r="CM3" s="7">
        <v>33667608.75845</v>
      </c>
      <c r="CN3" s="7">
        <v>35032407.53707</v>
      </c>
      <c r="CO3" s="7">
        <v>28172334.51324</v>
      </c>
      <c r="CP3" s="7">
        <v>30911889.9653</v>
      </c>
      <c r="CQ3" s="7">
        <v>59486099.68853</v>
      </c>
      <c r="CR3" s="7">
        <v>33593757.04987</v>
      </c>
      <c r="CS3" s="7">
        <v>43707197.4372001</v>
      </c>
      <c r="CT3" s="7">
        <v>56590018.969</v>
      </c>
      <c r="CU3" s="7">
        <v>32024440.949</v>
      </c>
      <c r="CV3" s="7">
        <v>36759136.31</v>
      </c>
      <c r="CW3" s="7">
        <v>48083805.391</v>
      </c>
      <c r="CX3" s="7">
        <v>33129673.181</v>
      </c>
      <c r="CY3" s="7">
        <v>36907910.304</v>
      </c>
      <c r="CZ3" s="7">
        <v>37600955.549</v>
      </c>
      <c r="DA3" s="7">
        <v>31787808.116</v>
      </c>
      <c r="DB3" s="7">
        <v>31909543.619</v>
      </c>
      <c r="DC3" s="7">
        <v>41175257.24</v>
      </c>
      <c r="DD3" s="7">
        <v>34291107.809</v>
      </c>
      <c r="DE3" s="7">
        <v>44724803.748</v>
      </c>
      <c r="DF3" s="7">
        <v>62200046.828</v>
      </c>
      <c r="DG3" s="7">
        <v>35502889.799</v>
      </c>
      <c r="DH3" s="7">
        <v>38568830.413</v>
      </c>
      <c r="DI3" s="7">
        <v>52175319.48</v>
      </c>
      <c r="DJ3" s="7">
        <v>39595330.747</v>
      </c>
      <c r="DK3" s="7">
        <v>36824597.443</v>
      </c>
      <c r="DL3" s="7">
        <v>41791025.1</v>
      </c>
      <c r="DM3" s="7">
        <v>32037460.225</v>
      </c>
      <c r="DN3" s="7">
        <v>37338826.906</v>
      </c>
      <c r="DO3" s="7">
        <v>42377334.284</v>
      </c>
      <c r="DP3" s="7">
        <v>40135904.079</v>
      </c>
      <c r="DQ3" s="7">
        <v>48626576.908</v>
      </c>
      <c r="DR3" s="7">
        <v>66777067.011</v>
      </c>
      <c r="DS3" s="7">
        <v>41355655.432</v>
      </c>
      <c r="DT3" s="7">
        <v>41381847.422</v>
      </c>
      <c r="DU3" s="7">
        <v>55260229.154</v>
      </c>
      <c r="DV3" s="7">
        <v>40520860.1</v>
      </c>
      <c r="DW3" s="7">
        <v>37163181.961</v>
      </c>
      <c r="DX3" s="7">
        <v>46659426.68</v>
      </c>
      <c r="DY3" s="7">
        <v>37805565.503</v>
      </c>
      <c r="DZ3" s="7">
        <v>37015795.662</v>
      </c>
      <c r="EA3" s="7">
        <v>46880849.247</v>
      </c>
      <c r="EB3" s="7">
        <v>44160510.285</v>
      </c>
      <c r="EC3" s="7">
        <v>50828002.244</v>
      </c>
      <c r="ED3" s="7">
        <v>72304998.199</v>
      </c>
      <c r="EE3" s="7">
        <v>41660184.54</v>
      </c>
      <c r="EF3" s="7">
        <v>39491895.347</v>
      </c>
      <c r="EG3" s="7">
        <v>43030686.152</v>
      </c>
      <c r="EH3" s="7">
        <v>31144729.822</v>
      </c>
      <c r="EI3" s="7">
        <v>35983876.707</v>
      </c>
      <c r="EJ3" s="7">
        <v>35113181.613</v>
      </c>
      <c r="EK3" s="7">
        <v>29240927.15</v>
      </c>
      <c r="EL3" s="7">
        <v>37910104.364</v>
      </c>
      <c r="EM3" s="7">
        <v>50323390.19</v>
      </c>
      <c r="EN3" s="7">
        <v>47460012.678</v>
      </c>
      <c r="EO3" s="7">
        <v>53167250.321</v>
      </c>
      <c r="EP3" s="7">
        <v>78023954.216</v>
      </c>
      <c r="EQ3" s="7">
        <v>46719819.04</v>
      </c>
      <c r="ER3" s="7">
        <v>54747920.139</v>
      </c>
      <c r="ES3" s="7">
        <v>61739188.559</v>
      </c>
      <c r="ET3" s="7">
        <v>55388598.068</v>
      </c>
      <c r="EU3" s="7">
        <v>50535465.611</v>
      </c>
      <c r="EV3" s="7">
        <v>60011499.202</v>
      </c>
      <c r="EW3" s="7">
        <v>49536662.501</v>
      </c>
      <c r="EX3" s="7">
        <v>55054673.95125</v>
      </c>
    </row>
    <row ht="12.8" outlineLevel="0" r="4">
      <c r="A4" s="4" t="s">
        <v>301</v>
      </c>
      <c r="B4" s="7">
        <v>32315569.39</v>
      </c>
      <c r="C4" s="7">
        <v>27744284.72</v>
      </c>
      <c r="D4" s="7">
        <v>30479255.11</v>
      </c>
      <c r="E4" s="7">
        <v>32574280.94</v>
      </c>
      <c r="F4" s="7">
        <v>30781721.37</v>
      </c>
      <c r="G4" s="7">
        <v>30151642.68</v>
      </c>
      <c r="H4" s="7">
        <v>34159701.53</v>
      </c>
      <c r="I4" s="7">
        <v>31662912.61</v>
      </c>
      <c r="J4" s="7">
        <v>32073994.65</v>
      </c>
      <c r="K4" s="7">
        <v>37105661</v>
      </c>
      <c r="L4" s="7">
        <v>36458902.44</v>
      </c>
      <c r="M4" s="7">
        <v>44962795.05</v>
      </c>
      <c r="N4" s="7">
        <v>40404929.64</v>
      </c>
      <c r="O4" s="7">
        <v>32912028.06</v>
      </c>
      <c r="P4" s="7">
        <v>35453185.35</v>
      </c>
      <c r="Q4" s="7">
        <v>39030016.3</v>
      </c>
      <c r="R4" s="7">
        <v>36960470.29</v>
      </c>
      <c r="S4" s="7">
        <v>35432472.64</v>
      </c>
      <c r="T4" s="7">
        <v>39833213.97</v>
      </c>
      <c r="U4" s="7">
        <v>37625996.6</v>
      </c>
      <c r="V4" s="7">
        <v>38708252.37</v>
      </c>
      <c r="W4" s="7">
        <v>41785777.27</v>
      </c>
      <c r="X4" s="7">
        <v>39582139.29</v>
      </c>
      <c r="Y4" s="7">
        <v>57703561.92</v>
      </c>
      <c r="Z4" s="7">
        <v>47771605.3</v>
      </c>
      <c r="AA4" s="7">
        <v>38852744.83</v>
      </c>
      <c r="AB4" s="7">
        <v>41367949.04</v>
      </c>
      <c r="AC4" s="7">
        <v>44791108.2</v>
      </c>
      <c r="AD4" s="7">
        <v>41115818.34</v>
      </c>
      <c r="AE4" s="7">
        <v>43220565.89</v>
      </c>
      <c r="AF4" s="7">
        <v>49398202.24</v>
      </c>
      <c r="AG4" s="7">
        <v>44823682.08</v>
      </c>
      <c r="AH4" s="11">
        <v>44690962.09</v>
      </c>
      <c r="AI4" s="11">
        <v>46982356.03</v>
      </c>
      <c r="AJ4" s="11">
        <v>43129538.09</v>
      </c>
      <c r="AK4" s="11">
        <v>59342069.46</v>
      </c>
      <c r="AL4" s="11">
        <v>52990838.37</v>
      </c>
      <c r="AM4" s="11">
        <v>42450075.75</v>
      </c>
      <c r="AN4" s="11">
        <v>47606255.99</v>
      </c>
      <c r="AO4" s="11">
        <v>47681826.11</v>
      </c>
      <c r="AP4" s="11">
        <v>45480966.98</v>
      </c>
      <c r="AQ4" s="11">
        <v>46328018.92</v>
      </c>
      <c r="AR4" s="11">
        <v>55537609.75</v>
      </c>
      <c r="AS4" s="11">
        <v>47170133.74</v>
      </c>
      <c r="AT4" s="11">
        <v>46980987.55</v>
      </c>
      <c r="AU4" s="11">
        <v>50200232.81</v>
      </c>
      <c r="AV4" s="11">
        <v>47591971.43</v>
      </c>
      <c r="AW4" s="11">
        <v>60406290.43</v>
      </c>
      <c r="AX4" s="11">
        <v>60528072.73</v>
      </c>
      <c r="AY4" s="11">
        <v>45928670.95</v>
      </c>
      <c r="AZ4" s="11">
        <v>47338007.52</v>
      </c>
      <c r="BA4" s="11">
        <v>51783597.73</v>
      </c>
      <c r="BB4" s="11">
        <v>52064863.1</v>
      </c>
      <c r="BC4" s="11">
        <v>47800012.62</v>
      </c>
      <c r="BD4" s="11">
        <v>52774915.81</v>
      </c>
      <c r="BE4" s="11">
        <v>50699049.54</v>
      </c>
      <c r="BF4" s="11">
        <v>50126231.8</v>
      </c>
      <c r="BG4" s="11">
        <v>54639627.81</v>
      </c>
      <c r="BH4" s="11">
        <v>52942624.96</v>
      </c>
      <c r="BI4" s="11">
        <v>76062906.55</v>
      </c>
      <c r="BJ4" s="11">
        <v>63794708.41</v>
      </c>
      <c r="BK4" s="11">
        <v>49846162.45</v>
      </c>
      <c r="BL4" s="11">
        <v>52198655.91</v>
      </c>
      <c r="BM4" s="12">
        <v>54715528.22</v>
      </c>
      <c r="BN4" s="12">
        <v>51843086.86</v>
      </c>
      <c r="BO4" s="12">
        <v>52523389.66</v>
      </c>
      <c r="BP4" s="12">
        <v>54892093.56</v>
      </c>
      <c r="BQ4" s="12">
        <v>53613369.49</v>
      </c>
      <c r="BR4" s="12">
        <v>53171588.25</v>
      </c>
      <c r="BS4" s="12">
        <v>57379236.52</v>
      </c>
      <c r="BT4" s="12">
        <v>57858379.51</v>
      </c>
      <c r="BU4" s="12">
        <v>69154226.2</v>
      </c>
      <c r="BV4" s="12">
        <v>65773214.065</v>
      </c>
      <c r="BW4" s="12">
        <v>54225582.913</v>
      </c>
      <c r="BX4" s="12">
        <v>54104252.239</v>
      </c>
      <c r="BY4" s="12">
        <v>57823088.171</v>
      </c>
      <c r="BZ4" s="12">
        <v>53652961.032</v>
      </c>
      <c r="CA4" s="12">
        <v>53569888.491</v>
      </c>
      <c r="CB4" s="5">
        <v>57796599.959</v>
      </c>
      <c r="CC4" s="5">
        <v>53918484.389</v>
      </c>
      <c r="CD4" s="5">
        <v>54990357.735</v>
      </c>
      <c r="CE4" s="5">
        <v>57442308.413</v>
      </c>
      <c r="CF4" s="5">
        <v>55804186.549</v>
      </c>
      <c r="CG4" s="13">
        <v>69285712.459</v>
      </c>
      <c r="CH4" s="13">
        <v>69772252.1729</v>
      </c>
      <c r="CI4" s="5">
        <v>54753937.63741</v>
      </c>
      <c r="CJ4" s="5">
        <v>59652422.34797</v>
      </c>
      <c r="CK4" s="5">
        <v>61109683.91464</v>
      </c>
      <c r="CL4" s="7">
        <v>59364735.69756</v>
      </c>
      <c r="CM4" s="7">
        <v>56621271.3278701</v>
      </c>
      <c r="CN4" s="7">
        <v>61888723.08402</v>
      </c>
      <c r="CO4" s="7">
        <v>56357202.96665</v>
      </c>
      <c r="CP4" s="7">
        <v>56246688.64445</v>
      </c>
      <c r="CQ4" s="7">
        <v>60181840.1740999</v>
      </c>
      <c r="CR4" s="7">
        <v>59140478.30434</v>
      </c>
      <c r="CS4" s="7">
        <v>74825463.6130402</v>
      </c>
      <c r="CT4" s="7">
        <v>72585302.029</v>
      </c>
      <c r="CU4" s="7">
        <v>56772628.58</v>
      </c>
      <c r="CV4" s="7">
        <v>60350455.69</v>
      </c>
      <c r="CW4" s="7">
        <v>61821361.204</v>
      </c>
      <c r="CX4" s="7">
        <v>58007960.835</v>
      </c>
      <c r="CY4" s="7">
        <v>58975663.26</v>
      </c>
      <c r="CZ4" s="7">
        <v>61062515.354</v>
      </c>
      <c r="DA4" s="7">
        <v>62175649.892</v>
      </c>
      <c r="DB4" s="7">
        <v>63634563.143</v>
      </c>
      <c r="DC4" s="7">
        <v>66160496.51</v>
      </c>
      <c r="DD4" s="7">
        <v>96723564.103</v>
      </c>
      <c r="DE4" s="7">
        <v>81462825.208</v>
      </c>
      <c r="DF4" s="7">
        <v>82322670.269</v>
      </c>
      <c r="DG4" s="7">
        <v>63346991.526</v>
      </c>
      <c r="DH4" s="7">
        <v>62755933.752</v>
      </c>
      <c r="DI4" s="7">
        <v>67881296.479</v>
      </c>
      <c r="DJ4" s="7">
        <v>67432986.435</v>
      </c>
      <c r="DK4" s="7">
        <v>62880881.689</v>
      </c>
      <c r="DL4" s="7">
        <v>68257363.5</v>
      </c>
      <c r="DM4" s="7">
        <v>68940086.102</v>
      </c>
      <c r="DN4" s="7">
        <v>68536063.565</v>
      </c>
      <c r="DO4" s="7">
        <v>71336079.425</v>
      </c>
      <c r="DP4" s="7">
        <v>70129554.507</v>
      </c>
      <c r="DQ4" s="7">
        <v>90663637.699</v>
      </c>
      <c r="DR4" s="7">
        <v>79471026.049</v>
      </c>
      <c r="DS4" s="7">
        <v>66323601.638</v>
      </c>
      <c r="DT4" s="7">
        <v>65004775.594</v>
      </c>
      <c r="DU4" s="7">
        <v>69837298.356</v>
      </c>
      <c r="DV4" s="7">
        <v>65969642.561</v>
      </c>
      <c r="DW4" s="7">
        <v>68871668.824</v>
      </c>
      <c r="DX4" s="7">
        <v>71608333.252</v>
      </c>
      <c r="DY4" s="7">
        <v>71492480.532</v>
      </c>
      <c r="DZ4" s="7">
        <v>66080128.519</v>
      </c>
      <c r="EA4" s="7">
        <v>72823756.824</v>
      </c>
      <c r="EB4" s="7">
        <v>70208758.353</v>
      </c>
      <c r="EC4" s="7">
        <v>85712279.506</v>
      </c>
      <c r="ED4" s="7">
        <v>86420324.484</v>
      </c>
      <c r="EE4" s="7">
        <v>64387231.11</v>
      </c>
      <c r="EF4" s="7">
        <v>63615743.887</v>
      </c>
      <c r="EG4" s="7">
        <v>45079100.195</v>
      </c>
      <c r="EH4" s="7">
        <v>36690391.183</v>
      </c>
      <c r="EI4" s="7">
        <v>38765929.039</v>
      </c>
      <c r="EJ4" s="7">
        <v>65774777.764</v>
      </c>
      <c r="EK4" s="7">
        <v>83448636.373</v>
      </c>
      <c r="EL4" s="7">
        <v>70645270.915</v>
      </c>
      <c r="EM4" s="7">
        <v>90647691.14</v>
      </c>
      <c r="EN4" s="7">
        <v>82936614.026</v>
      </c>
      <c r="EO4" s="7">
        <v>97190533.957</v>
      </c>
      <c r="EP4" s="7">
        <v>89228543.66</v>
      </c>
      <c r="EQ4" s="7">
        <v>74123759.274</v>
      </c>
      <c r="ER4" s="7">
        <v>76424093.734</v>
      </c>
      <c r="ES4" s="7">
        <v>78352827.441</v>
      </c>
      <c r="ET4" s="7">
        <v>70885277.715</v>
      </c>
      <c r="EU4" s="7">
        <v>69147528.006</v>
      </c>
      <c r="EV4" s="7">
        <v>85790183.468</v>
      </c>
      <c r="EW4" s="7">
        <v>82887675.173</v>
      </c>
      <c r="EX4" s="7">
        <v>85379804.5134401</v>
      </c>
    </row>
    <row ht="12.8" outlineLevel="0" r="5">
      <c r="A5" s="4" t="s">
        <v>302</v>
      </c>
      <c r="B5" s="7">
        <v>3394208.21</v>
      </c>
      <c r="C5" s="7">
        <v>2856144.73</v>
      </c>
      <c r="D5" s="7">
        <v>2336147.32</v>
      </c>
      <c r="E5" s="7">
        <v>5406909.57</v>
      </c>
      <c r="F5" s="7">
        <v>5900559.66</v>
      </c>
      <c r="G5" s="7">
        <v>2999280.9</v>
      </c>
      <c r="H5" s="7">
        <v>5536927.05</v>
      </c>
      <c r="I5" s="7">
        <v>10449474.45</v>
      </c>
      <c r="J5" s="7">
        <v>2133599.49</v>
      </c>
      <c r="K5" s="7">
        <v>4534876.17</v>
      </c>
      <c r="L5" s="7">
        <v>4462142.11</v>
      </c>
      <c r="M5" s="7">
        <v>8690156.78</v>
      </c>
      <c r="N5" s="7">
        <v>4600693.07</v>
      </c>
      <c r="O5" s="7">
        <v>4096516.5</v>
      </c>
      <c r="P5" s="7">
        <v>3415099.39</v>
      </c>
      <c r="Q5" s="7">
        <v>8839724.17</v>
      </c>
      <c r="R5" s="7">
        <v>3692742.06</v>
      </c>
      <c r="S5" s="7">
        <v>2124705.3</v>
      </c>
      <c r="T5" s="7">
        <v>5507187.34</v>
      </c>
      <c r="U5" s="7">
        <v>8761826.04</v>
      </c>
      <c r="V5" s="7">
        <v>9326226.55</v>
      </c>
      <c r="W5" s="7">
        <v>4224799.32</v>
      </c>
      <c r="X5" s="7">
        <v>5005220.04</v>
      </c>
      <c r="Y5" s="7">
        <v>5646269.63</v>
      </c>
      <c r="Z5" s="7">
        <v>4920089.58</v>
      </c>
      <c r="AA5" s="7">
        <v>3763443.49</v>
      </c>
      <c r="AB5" s="7">
        <v>3724995.03</v>
      </c>
      <c r="AC5" s="7">
        <v>8425149.6</v>
      </c>
      <c r="AD5" s="7">
        <v>6381467.69</v>
      </c>
      <c r="AE5" s="7">
        <v>4905545.82</v>
      </c>
      <c r="AF5" s="7">
        <v>7210342.04</v>
      </c>
      <c r="AG5" s="7">
        <v>4102008.36</v>
      </c>
      <c r="AH5" s="11">
        <v>6186678.89</v>
      </c>
      <c r="AI5" s="11">
        <v>5882759.77</v>
      </c>
      <c r="AJ5" s="11">
        <v>4548136.16</v>
      </c>
      <c r="AK5" s="11">
        <v>5657937.41</v>
      </c>
      <c r="AL5" s="11">
        <v>6859609.08</v>
      </c>
      <c r="AM5" s="11">
        <v>7574456.05</v>
      </c>
      <c r="AN5" s="11">
        <v>2817055.39</v>
      </c>
      <c r="AO5" s="11">
        <v>7924244.55</v>
      </c>
      <c r="AP5" s="11">
        <v>5603773.2</v>
      </c>
      <c r="AQ5" s="11">
        <v>2999528.51</v>
      </c>
      <c r="AR5" s="11">
        <v>9396522.41</v>
      </c>
      <c r="AS5" s="11">
        <v>8717258.51</v>
      </c>
      <c r="AT5" s="11">
        <v>6327084.89</v>
      </c>
      <c r="AU5" s="11">
        <v>8214691.41</v>
      </c>
      <c r="AV5" s="11">
        <v>3108964.84</v>
      </c>
      <c r="AW5" s="11">
        <v>11503470.03</v>
      </c>
      <c r="AX5" s="11">
        <v>7939779.83</v>
      </c>
      <c r="AY5" s="11">
        <v>2711931.83</v>
      </c>
      <c r="AZ5" s="11">
        <v>3304659.46</v>
      </c>
      <c r="BA5" s="11">
        <v>7558571.78</v>
      </c>
      <c r="BB5" s="11">
        <v>4889450.08</v>
      </c>
      <c r="BC5" s="11">
        <v>6294140.58</v>
      </c>
      <c r="BD5" s="11">
        <v>9626636.3</v>
      </c>
      <c r="BE5" s="11">
        <v>8050109.55</v>
      </c>
      <c r="BF5" s="11">
        <v>4687743.61</v>
      </c>
      <c r="BG5" s="11">
        <v>6875617.79</v>
      </c>
      <c r="BH5" s="11">
        <v>18839481.09</v>
      </c>
      <c r="BI5" s="11">
        <v>4405162.99</v>
      </c>
      <c r="BJ5" s="11">
        <v>8053908.8</v>
      </c>
      <c r="BK5" s="11">
        <v>6417639.71</v>
      </c>
      <c r="BL5" s="11">
        <v>5756979.2</v>
      </c>
      <c r="BM5" s="12">
        <v>10054284.86</v>
      </c>
      <c r="BN5" s="12">
        <v>4779921.88</v>
      </c>
      <c r="BO5" s="12">
        <v>4668170.03</v>
      </c>
      <c r="BP5" s="12">
        <v>8867704.6</v>
      </c>
      <c r="BQ5" s="12">
        <v>9432714.79</v>
      </c>
      <c r="BR5" s="12">
        <v>4249175.3</v>
      </c>
      <c r="BS5" s="12">
        <v>7876955.67</v>
      </c>
      <c r="BT5" s="12">
        <v>3482967.23</v>
      </c>
      <c r="BU5" s="12">
        <v>8754347.35</v>
      </c>
      <c r="BV5" s="12">
        <v>6990100.895</v>
      </c>
      <c r="BW5" s="12">
        <v>2744185.37</v>
      </c>
      <c r="BX5" s="12">
        <v>4365274.053</v>
      </c>
      <c r="BY5" s="12">
        <v>6742538.076</v>
      </c>
      <c r="BZ5" s="12">
        <v>6375292.772</v>
      </c>
      <c r="CA5" s="12">
        <v>3568599.749</v>
      </c>
      <c r="CB5" s="5">
        <v>7347299.119</v>
      </c>
      <c r="CC5" s="5">
        <v>4384075.199</v>
      </c>
      <c r="CD5" s="5">
        <v>3254487.045</v>
      </c>
      <c r="CE5" s="5">
        <v>6254728.657</v>
      </c>
      <c r="CF5" s="5">
        <v>3377053.109</v>
      </c>
      <c r="CG5" s="13">
        <v>10405729.335</v>
      </c>
      <c r="CH5" s="13">
        <v>16951860.81185</v>
      </c>
      <c r="CI5" s="5">
        <v>3628096.07721</v>
      </c>
      <c r="CJ5" s="5">
        <v>4531025.11949</v>
      </c>
      <c r="CK5" s="5">
        <v>5562889.75087</v>
      </c>
      <c r="CL5" s="7">
        <v>4340275.32305</v>
      </c>
      <c r="CM5" s="7">
        <v>9290178.90053999</v>
      </c>
      <c r="CN5" s="7">
        <v>7961059.45604</v>
      </c>
      <c r="CO5" s="7">
        <v>4131256.85818001</v>
      </c>
      <c r="CP5" s="7">
        <v>3920943.57796999</v>
      </c>
      <c r="CQ5" s="7">
        <v>4442180.42394</v>
      </c>
      <c r="CR5" s="7">
        <v>3806843.73459</v>
      </c>
      <c r="CS5" s="7">
        <v>5540142.85868999</v>
      </c>
      <c r="CT5" s="7">
        <v>8545936.444</v>
      </c>
      <c r="CU5" s="7">
        <v>4538093.842</v>
      </c>
      <c r="CV5" s="7">
        <v>5569602.407</v>
      </c>
      <c r="CW5" s="7">
        <v>9416285.6</v>
      </c>
      <c r="CX5" s="7">
        <v>4070466.56</v>
      </c>
      <c r="CY5" s="7">
        <v>6265394.797</v>
      </c>
      <c r="CZ5" s="7">
        <v>10012916.355</v>
      </c>
      <c r="DA5" s="7">
        <v>4515324.431</v>
      </c>
      <c r="DB5" s="7">
        <v>4066357.507</v>
      </c>
      <c r="DC5" s="7">
        <v>7945675.931</v>
      </c>
      <c r="DD5" s="7">
        <v>17559846.684</v>
      </c>
      <c r="DE5" s="7">
        <v>17401672.054</v>
      </c>
      <c r="DF5" s="7">
        <v>11933546.614</v>
      </c>
      <c r="DG5" s="7">
        <v>4097481.907</v>
      </c>
      <c r="DH5" s="7">
        <v>4385212.162</v>
      </c>
      <c r="DI5" s="7">
        <v>10685534.378</v>
      </c>
      <c r="DJ5" s="7">
        <v>9004178.521</v>
      </c>
      <c r="DK5" s="7">
        <v>5135019.203</v>
      </c>
      <c r="DL5" s="7">
        <v>14295872.46</v>
      </c>
      <c r="DM5" s="7">
        <v>11835647.2</v>
      </c>
      <c r="DN5" s="7">
        <v>8421695.615</v>
      </c>
      <c r="DO5" s="7">
        <v>14645026.56</v>
      </c>
      <c r="DP5" s="7">
        <v>12112787.839</v>
      </c>
      <c r="DQ5" s="7">
        <v>5293743.521</v>
      </c>
      <c r="DR5" s="7">
        <v>12999357.931</v>
      </c>
      <c r="DS5" s="7">
        <v>4313652.886</v>
      </c>
      <c r="DT5" s="7">
        <v>6753821.933</v>
      </c>
      <c r="DU5" s="7">
        <v>13804352.781</v>
      </c>
      <c r="DV5" s="7">
        <v>10019976.138</v>
      </c>
      <c r="DW5" s="7">
        <v>5606536.719</v>
      </c>
      <c r="DX5" s="7">
        <v>14473694.681</v>
      </c>
      <c r="DY5" s="7">
        <v>5397498.428</v>
      </c>
      <c r="DZ5" s="7">
        <v>12343661.492</v>
      </c>
      <c r="EA5" s="7">
        <v>14757260.047</v>
      </c>
      <c r="EB5" s="7">
        <v>9275454.898</v>
      </c>
      <c r="EC5" s="7">
        <v>92710452.403</v>
      </c>
      <c r="ED5" s="7">
        <v>13549862.699</v>
      </c>
      <c r="EE5" s="7">
        <v>6042019.056</v>
      </c>
      <c r="EF5" s="7">
        <v>4740539.334</v>
      </c>
      <c r="EG5" s="7">
        <v>10431853.534</v>
      </c>
      <c r="EH5" s="7">
        <v>4795179.708</v>
      </c>
      <c r="EI5" s="7">
        <v>4279092.75</v>
      </c>
      <c r="EJ5" s="7">
        <v>8693910.219</v>
      </c>
      <c r="EK5" s="7">
        <v>5323545.125</v>
      </c>
      <c r="EL5" s="7">
        <v>12074594.441</v>
      </c>
      <c r="EM5" s="7">
        <v>10667496.624</v>
      </c>
      <c r="EN5" s="7">
        <v>6560039.991</v>
      </c>
      <c r="EO5" s="7">
        <v>7343461.239</v>
      </c>
      <c r="EP5" s="7">
        <v>15104082.468</v>
      </c>
      <c r="EQ5" s="7">
        <v>6353925.206</v>
      </c>
      <c r="ER5" s="7">
        <v>6992371.447</v>
      </c>
      <c r="ES5" s="7">
        <v>20182216.602</v>
      </c>
      <c r="ET5" s="7">
        <v>14864684.663</v>
      </c>
      <c r="EU5" s="7">
        <v>7278060.003</v>
      </c>
      <c r="EV5" s="7">
        <v>17845922.197</v>
      </c>
      <c r="EW5" s="7">
        <v>14958893.728</v>
      </c>
      <c r="EX5" s="7">
        <v>7931426.41103999</v>
      </c>
    </row>
    <row ht="12.8" outlineLevel="0" r="6">
      <c r="A6" s="4" t="s">
        <v>303</v>
      </c>
      <c r="B6" s="7">
        <v>2456.74</v>
      </c>
      <c r="C6" s="7">
        <v>1131.82</v>
      </c>
      <c r="D6" s="7">
        <v>1797.87</v>
      </c>
      <c r="E6" s="7">
        <v>1696.27</v>
      </c>
      <c r="F6" s="7">
        <v>1458.87</v>
      </c>
      <c r="G6" s="7">
        <v>2241.5</v>
      </c>
      <c r="H6" s="7">
        <v>2302.08</v>
      </c>
      <c r="I6" s="7">
        <v>923.68</v>
      </c>
      <c r="J6" s="7">
        <v>1202.79</v>
      </c>
      <c r="K6" s="7">
        <v>1636.32</v>
      </c>
      <c r="L6" s="7">
        <v>1453.81</v>
      </c>
      <c r="M6" s="7">
        <v>2580.01</v>
      </c>
      <c r="N6" s="7">
        <v>1220.24</v>
      </c>
      <c r="O6" s="7">
        <v>1969.08</v>
      </c>
      <c r="P6" s="7">
        <v>1585.1</v>
      </c>
      <c r="Q6" s="7">
        <v>1779.8</v>
      </c>
      <c r="R6" s="7">
        <v>1984.12</v>
      </c>
      <c r="S6" s="7">
        <v>1611.73</v>
      </c>
      <c r="T6" s="7">
        <v>1180.89</v>
      </c>
      <c r="U6" s="7">
        <v>1378.08</v>
      </c>
      <c r="V6" s="7">
        <v>1649.28</v>
      </c>
      <c r="W6" s="7">
        <v>2155.71</v>
      </c>
      <c r="X6" s="7">
        <v>2052.06</v>
      </c>
      <c r="Y6" s="7">
        <v>1758.46</v>
      </c>
      <c r="Z6" s="7">
        <v>1375.03</v>
      </c>
      <c r="AA6" s="7">
        <v>1618.66</v>
      </c>
      <c r="AB6" s="7">
        <v>1775.62</v>
      </c>
      <c r="AC6" s="7">
        <v>2176.12</v>
      </c>
      <c r="AD6" s="7">
        <v>2176.57</v>
      </c>
      <c r="AE6" s="7">
        <v>1312.88</v>
      </c>
      <c r="AF6" s="7">
        <v>1785.41</v>
      </c>
      <c r="AG6" s="7">
        <v>1932.09</v>
      </c>
      <c r="AH6" s="11">
        <v>2114.71</v>
      </c>
      <c r="AI6" s="11">
        <v>1317.88</v>
      </c>
      <c r="AJ6" s="11">
        <v>1641.82</v>
      </c>
      <c r="AK6" s="11">
        <v>1787.13</v>
      </c>
      <c r="AL6" s="11">
        <v>2293.31</v>
      </c>
      <c r="AM6" s="11">
        <v>1791.33</v>
      </c>
      <c r="AN6" s="11">
        <v>2467.93</v>
      </c>
      <c r="AO6" s="11">
        <v>1747.78</v>
      </c>
      <c r="AP6" s="11">
        <v>1610.4</v>
      </c>
      <c r="AQ6" s="11">
        <v>1502.27</v>
      </c>
      <c r="AR6" s="11">
        <v>2007.73</v>
      </c>
      <c r="AS6" s="11">
        <v>1978.64</v>
      </c>
      <c r="AT6" s="11">
        <v>3465.02</v>
      </c>
      <c r="AU6" s="11">
        <v>2363.34</v>
      </c>
      <c r="AV6" s="11">
        <v>1596.47</v>
      </c>
      <c r="AW6" s="11">
        <v>1909.18</v>
      </c>
      <c r="AX6" s="11">
        <v>2476.66</v>
      </c>
      <c r="AY6" s="11">
        <v>1644.7</v>
      </c>
      <c r="AZ6" s="11">
        <v>1821.92</v>
      </c>
      <c r="BA6" s="11">
        <v>2060.2</v>
      </c>
      <c r="BB6" s="11">
        <v>2390.84</v>
      </c>
      <c r="BC6" s="11">
        <v>2018.1</v>
      </c>
      <c r="BD6" s="11">
        <v>2598.71</v>
      </c>
      <c r="BE6" s="11">
        <v>2110.9</v>
      </c>
      <c r="BF6" s="11">
        <v>2293.74</v>
      </c>
      <c r="BG6" s="11">
        <v>3135.99</v>
      </c>
      <c r="BH6" s="11">
        <v>1712.57</v>
      </c>
      <c r="BI6" s="11">
        <v>2229.95</v>
      </c>
      <c r="BJ6" s="11">
        <v>1851.19</v>
      </c>
      <c r="BK6" s="11">
        <v>2162.72</v>
      </c>
      <c r="BL6" s="11">
        <v>1722.66</v>
      </c>
      <c r="BM6" s="12">
        <v>3670.98</v>
      </c>
      <c r="BN6" s="12">
        <v>2962.06</v>
      </c>
      <c r="BO6" s="12">
        <v>1768.98</v>
      </c>
      <c r="BP6" s="12">
        <v>1785.32</v>
      </c>
      <c r="BQ6" s="12">
        <v>3246.43</v>
      </c>
      <c r="BR6" s="12">
        <v>1885.94</v>
      </c>
      <c r="BS6" s="12">
        <v>1852.22</v>
      </c>
      <c r="BT6" s="12">
        <v>2234.32</v>
      </c>
      <c r="BU6" s="12">
        <v>1765.6</v>
      </c>
      <c r="BV6" s="12">
        <v>1253.284</v>
      </c>
      <c r="BW6" s="12">
        <v>1909.402</v>
      </c>
      <c r="BX6" s="12">
        <v>1519.303</v>
      </c>
      <c r="BY6" s="12">
        <v>2119.031</v>
      </c>
      <c r="BZ6" s="12">
        <v>2315.211</v>
      </c>
      <c r="CA6" s="12">
        <v>2974.212</v>
      </c>
      <c r="CB6" s="5">
        <v>2742.717</v>
      </c>
      <c r="CC6" s="5">
        <v>3655.612</v>
      </c>
      <c r="CD6" s="5">
        <v>3074.743</v>
      </c>
      <c r="CE6" s="5">
        <v>3412.687</v>
      </c>
      <c r="CF6" s="5">
        <v>2220.836</v>
      </c>
      <c r="CG6" s="13">
        <v>1288.669</v>
      </c>
      <c r="CH6" s="13">
        <v>1454.89696</v>
      </c>
      <c r="CI6" s="5">
        <v>1555.99759</v>
      </c>
      <c r="CJ6" s="5">
        <v>2172.507</v>
      </c>
      <c r="CK6" s="5">
        <v>1714.8983</v>
      </c>
      <c r="CL6" s="7">
        <v>1501.01856</v>
      </c>
      <c r="CM6" s="7">
        <v>1598.90929</v>
      </c>
      <c r="CN6" s="7">
        <v>1864.64634</v>
      </c>
      <c r="CO6" s="7">
        <v>1993.94853</v>
      </c>
      <c r="CP6" s="7">
        <v>2082.28422</v>
      </c>
      <c r="CQ6" s="7">
        <v>3729.50889</v>
      </c>
      <c r="CR6" s="7">
        <v>247.69584</v>
      </c>
      <c r="CS6" s="7">
        <v>1899.64647</v>
      </c>
      <c r="CT6" s="7">
        <v>1241.623</v>
      </c>
      <c r="CU6" s="7">
        <v>1533.974</v>
      </c>
      <c r="CV6" s="7">
        <v>1677.737</v>
      </c>
      <c r="CW6" s="7">
        <v>2208.579</v>
      </c>
      <c r="CX6" s="7">
        <v>1564.067</v>
      </c>
      <c r="CY6" s="7">
        <v>1558.059</v>
      </c>
      <c r="CZ6" s="7">
        <v>1283.94</v>
      </c>
      <c r="DA6" s="7">
        <v>1471.842</v>
      </c>
      <c r="DB6" s="7">
        <v>1413.655</v>
      </c>
      <c r="DC6" s="7">
        <v>735.652</v>
      </c>
      <c r="DD6" s="7">
        <v>2905.835</v>
      </c>
      <c r="DE6" s="7">
        <v>1362.194</v>
      </c>
      <c r="DF6" s="7">
        <v>1443.327</v>
      </c>
      <c r="DG6" s="7">
        <v>1233.007</v>
      </c>
      <c r="DH6" s="7">
        <v>1383.371</v>
      </c>
      <c r="DI6" s="7">
        <v>1537.054</v>
      </c>
      <c r="DJ6" s="7">
        <v>1584.054</v>
      </c>
      <c r="DK6" s="7">
        <v>1173.568</v>
      </c>
      <c r="DL6" s="7">
        <v>1669.029</v>
      </c>
      <c r="DM6" s="7">
        <v>1941.772</v>
      </c>
      <c r="DN6" s="7">
        <v>2892.381</v>
      </c>
      <c r="DO6" s="7">
        <v>3832.356</v>
      </c>
      <c r="DP6" s="7">
        <v>1123.032</v>
      </c>
      <c r="DQ6" s="7">
        <v>905.593</v>
      </c>
      <c r="DR6" s="7">
        <v>1161.756</v>
      </c>
      <c r="DS6" s="7">
        <v>1378.187</v>
      </c>
      <c r="DT6" s="7">
        <v>1834.998</v>
      </c>
      <c r="DU6" s="7">
        <v>3123.553</v>
      </c>
      <c r="DV6" s="7">
        <v>1407.204</v>
      </c>
      <c r="DW6" s="7">
        <v>1497.681</v>
      </c>
      <c r="DX6" s="7">
        <v>1159.246</v>
      </c>
      <c r="DY6" s="7">
        <v>1513.158</v>
      </c>
      <c r="DZ6" s="7">
        <v>3035.975</v>
      </c>
      <c r="EA6" s="7">
        <v>2664.935</v>
      </c>
      <c r="EB6" s="7">
        <v>1540.439</v>
      </c>
      <c r="EC6" s="7">
        <v>1758.578</v>
      </c>
      <c r="ED6" s="7">
        <v>1043.888</v>
      </c>
      <c r="EE6" s="7">
        <v>1124.032</v>
      </c>
      <c r="EF6" s="7">
        <v>1475.268</v>
      </c>
      <c r="EG6" s="7">
        <v>1157.343</v>
      </c>
      <c r="EH6" s="7">
        <v>1413.614</v>
      </c>
      <c r="EI6" s="7">
        <v>1862.963</v>
      </c>
      <c r="EJ6" s="7">
        <v>2877.375</v>
      </c>
      <c r="EK6" s="7">
        <v>1122.139</v>
      </c>
      <c r="EL6" s="7">
        <v>2694.269</v>
      </c>
      <c r="EM6" s="7">
        <v>1385.928</v>
      </c>
      <c r="EN6" s="7">
        <v>4080.577</v>
      </c>
      <c r="EO6" s="7">
        <v>1256.484</v>
      </c>
      <c r="EP6" s="7">
        <v>1490.417</v>
      </c>
      <c r="EQ6" s="7">
        <v>1653</v>
      </c>
      <c r="ER6" s="7">
        <v>2007.109</v>
      </c>
      <c r="ES6" s="7">
        <v>2456.393</v>
      </c>
      <c r="ET6" s="7">
        <v>2246.228</v>
      </c>
      <c r="EU6" s="7">
        <v>1837.251</v>
      </c>
      <c r="EV6" s="7">
        <v>5836.382</v>
      </c>
      <c r="EW6" s="7">
        <v>2120.851</v>
      </c>
      <c r="EX6" s="7">
        <v>3430.50446</v>
      </c>
    </row>
    <row ht="12.8" outlineLevel="0" r="7">
      <c r="A7" s="4" t="s">
        <v>304</v>
      </c>
      <c r="B7" s="7">
        <v>57153.19</v>
      </c>
      <c r="C7" s="7">
        <v>39870.32</v>
      </c>
      <c r="D7" s="7">
        <v>43412.66</v>
      </c>
      <c r="E7" s="7">
        <v>39633.68</v>
      </c>
      <c r="F7" s="7">
        <v>41827.95</v>
      </c>
      <c r="G7" s="7">
        <v>41429.13</v>
      </c>
      <c r="H7" s="7">
        <v>56315.74</v>
      </c>
      <c r="I7" s="7">
        <v>36095.98</v>
      </c>
      <c r="J7" s="7">
        <v>60376.86</v>
      </c>
      <c r="K7" s="7">
        <v>51829.58</v>
      </c>
      <c r="L7" s="7">
        <v>50118.94</v>
      </c>
      <c r="M7" s="7">
        <v>56201.65</v>
      </c>
      <c r="N7" s="7">
        <v>64092.17</v>
      </c>
      <c r="O7" s="7">
        <v>22161.8</v>
      </c>
      <c r="P7" s="7">
        <v>77618.59</v>
      </c>
      <c r="Q7" s="7">
        <v>38777.29</v>
      </c>
      <c r="R7" s="7">
        <v>36095.74</v>
      </c>
      <c r="S7" s="7">
        <v>51123.22</v>
      </c>
      <c r="T7" s="7">
        <v>33520.5</v>
      </c>
      <c r="U7" s="7">
        <v>45351.17</v>
      </c>
      <c r="V7" s="7">
        <v>13111.15</v>
      </c>
      <c r="W7" s="7">
        <v>52612.33</v>
      </c>
      <c r="X7" s="7">
        <v>75889.84</v>
      </c>
      <c r="Y7" s="7">
        <v>93254.08</v>
      </c>
      <c r="Z7" s="7">
        <v>19141.65</v>
      </c>
      <c r="AA7" s="7">
        <v>51741.96</v>
      </c>
      <c r="AB7" s="7">
        <v>49185.29</v>
      </c>
      <c r="AC7" s="7">
        <v>61835.55</v>
      </c>
      <c r="AD7" s="7">
        <v>53050.55</v>
      </c>
      <c r="AE7" s="7">
        <v>46442.02</v>
      </c>
      <c r="AF7" s="7">
        <v>22557.15</v>
      </c>
      <c r="AG7" s="7">
        <v>86688.63</v>
      </c>
      <c r="AH7" s="11">
        <v>59228.87</v>
      </c>
      <c r="AI7" s="11">
        <v>33686.42</v>
      </c>
      <c r="AJ7" s="11">
        <v>44465.86</v>
      </c>
      <c r="AK7" s="11">
        <v>34475.94</v>
      </c>
      <c r="AL7" s="11">
        <v>30280.92</v>
      </c>
      <c r="AM7" s="11">
        <v>53747.18</v>
      </c>
      <c r="AN7" s="11">
        <v>54595.27</v>
      </c>
      <c r="AO7" s="11">
        <v>151619.71</v>
      </c>
      <c r="AP7" s="11">
        <v>24188.35</v>
      </c>
      <c r="AQ7" s="11">
        <v>39269.53</v>
      </c>
      <c r="AR7" s="11">
        <v>148203.32</v>
      </c>
      <c r="AS7" s="11">
        <v>22117.1</v>
      </c>
      <c r="AT7" s="11">
        <v>94308.22</v>
      </c>
      <c r="AU7" s="11">
        <v>60028.65</v>
      </c>
      <c r="AV7" s="11">
        <v>29972.51</v>
      </c>
      <c r="AW7" s="11">
        <v>47712.91</v>
      </c>
      <c r="AX7" s="11">
        <v>77582.73</v>
      </c>
      <c r="AY7" s="11">
        <v>29529.61</v>
      </c>
      <c r="AZ7" s="11">
        <v>33194.61</v>
      </c>
      <c r="BA7" s="11">
        <v>171791.94</v>
      </c>
      <c r="BB7" s="11">
        <v>17368.79</v>
      </c>
      <c r="BC7" s="11">
        <v>74583.52</v>
      </c>
      <c r="BD7" s="11">
        <v>38233.34</v>
      </c>
      <c r="BE7" s="11">
        <v>194539.09</v>
      </c>
      <c r="BF7" s="11">
        <v>28543.47</v>
      </c>
      <c r="BG7" s="11">
        <v>21708.71</v>
      </c>
      <c r="BH7" s="11">
        <v>92590.8</v>
      </c>
      <c r="BI7" s="11">
        <v>145495.9</v>
      </c>
      <c r="BJ7" s="11">
        <v>29342.4</v>
      </c>
      <c r="BK7" s="11">
        <v>18971.27</v>
      </c>
      <c r="BL7" s="11">
        <v>43196.26</v>
      </c>
      <c r="BM7" s="12">
        <v>70624.81</v>
      </c>
      <c r="BN7" s="12">
        <v>62327.9</v>
      </c>
      <c r="BO7" s="12">
        <v>43714.11</v>
      </c>
      <c r="BP7" s="12">
        <v>63744.7</v>
      </c>
      <c r="BQ7" s="12">
        <v>73999.57</v>
      </c>
      <c r="BR7" s="12">
        <v>30577.1</v>
      </c>
      <c r="BS7" s="12">
        <v>38693.05</v>
      </c>
      <c r="BT7" s="12">
        <v>30345.71</v>
      </c>
      <c r="BU7" s="12">
        <v>76514.39</v>
      </c>
      <c r="BV7" s="12">
        <v>20612.917</v>
      </c>
      <c r="BW7" s="12">
        <v>51468.501</v>
      </c>
      <c r="BX7" s="12">
        <v>55515.51</v>
      </c>
      <c r="BY7" s="12">
        <v>56876.051</v>
      </c>
      <c r="BZ7" s="12">
        <v>53048.982</v>
      </c>
      <c r="CA7" s="12">
        <v>50977.062</v>
      </c>
      <c r="CB7" s="5">
        <v>54516.496</v>
      </c>
      <c r="CC7" s="5">
        <v>70926.348</v>
      </c>
      <c r="CD7" s="5">
        <v>48959.281</v>
      </c>
      <c r="CE7" s="5">
        <v>51682.426</v>
      </c>
      <c r="CF7" s="5">
        <v>50519.724</v>
      </c>
      <c r="CG7" s="13">
        <v>60521.013</v>
      </c>
      <c r="CH7" s="13">
        <v>48541.01276</v>
      </c>
      <c r="CI7" s="5">
        <v>50959.3676</v>
      </c>
      <c r="CJ7" s="5">
        <v>67365.25704</v>
      </c>
      <c r="CK7" s="5">
        <v>70128.82584</v>
      </c>
      <c r="CL7" s="7">
        <v>167862.37358</v>
      </c>
      <c r="CM7" s="7">
        <v>100588.78482</v>
      </c>
      <c r="CN7" s="7">
        <v>58015.6185500001</v>
      </c>
      <c r="CO7" s="7">
        <v>56686.9603699999</v>
      </c>
      <c r="CP7" s="7">
        <v>39999.06547</v>
      </c>
      <c r="CQ7" s="7">
        <v>60776.63189</v>
      </c>
      <c r="CR7" s="7">
        <v>74504.43697</v>
      </c>
      <c r="CS7" s="7">
        <v>47057.65897</v>
      </c>
      <c r="CT7" s="7">
        <v>58502.227</v>
      </c>
      <c r="CU7" s="7">
        <v>64978.442</v>
      </c>
      <c r="CV7" s="7">
        <v>76267.111</v>
      </c>
      <c r="CW7" s="7">
        <v>77322.283</v>
      </c>
      <c r="CX7" s="7">
        <v>101517.967</v>
      </c>
      <c r="CY7" s="7">
        <v>82557.411</v>
      </c>
      <c r="CZ7" s="7">
        <v>102907.701</v>
      </c>
      <c r="DA7" s="7">
        <v>86383.561</v>
      </c>
      <c r="DB7" s="7">
        <v>59367.321</v>
      </c>
      <c r="DC7" s="7">
        <v>54192.2</v>
      </c>
      <c r="DD7" s="7">
        <v>60879.006</v>
      </c>
      <c r="DE7" s="7">
        <v>56110.432</v>
      </c>
      <c r="DF7" s="7">
        <v>72098.375</v>
      </c>
      <c r="DG7" s="7">
        <v>66974.535</v>
      </c>
      <c r="DH7" s="7">
        <v>66843.71</v>
      </c>
      <c r="DI7" s="7">
        <v>98765.559</v>
      </c>
      <c r="DJ7" s="7">
        <v>109650.639</v>
      </c>
      <c r="DK7" s="7">
        <v>82190.795</v>
      </c>
      <c r="DL7" s="7">
        <v>148399.258</v>
      </c>
      <c r="DM7" s="7">
        <v>181548.239</v>
      </c>
      <c r="DN7" s="7">
        <v>98862.239</v>
      </c>
      <c r="DO7" s="7">
        <v>55562.459</v>
      </c>
      <c r="DP7" s="7">
        <v>91475.85</v>
      </c>
      <c r="DQ7" s="7">
        <v>983734.871</v>
      </c>
      <c r="DR7" s="7">
        <v>71361.755</v>
      </c>
      <c r="DS7" s="7">
        <v>83760.595</v>
      </c>
      <c r="DT7" s="7">
        <v>96562.147</v>
      </c>
      <c r="DU7" s="7">
        <v>169890.69</v>
      </c>
      <c r="DV7" s="7">
        <v>83211.776</v>
      </c>
      <c r="DW7" s="7">
        <v>109917.991</v>
      </c>
      <c r="DX7" s="7">
        <v>97522.617</v>
      </c>
      <c r="DY7" s="7">
        <v>32609.274</v>
      </c>
      <c r="DZ7" s="7">
        <v>122939.024</v>
      </c>
      <c r="EA7" s="7">
        <v>123193.138</v>
      </c>
      <c r="EB7" s="7">
        <v>368757.859</v>
      </c>
      <c r="EC7" s="7">
        <v>246254.56</v>
      </c>
      <c r="ED7" s="7">
        <v>221627.555</v>
      </c>
      <c r="EE7" s="7">
        <v>27689.606</v>
      </c>
      <c r="EF7" s="7">
        <v>80011.435</v>
      </c>
      <c r="EG7" s="7">
        <v>65028.847</v>
      </c>
      <c r="EH7" s="7">
        <v>121443.045</v>
      </c>
      <c r="EI7" s="7">
        <v>174072.063</v>
      </c>
      <c r="EJ7" s="7">
        <v>195765.697</v>
      </c>
      <c r="EK7" s="7">
        <v>223760.411</v>
      </c>
      <c r="EL7" s="7">
        <v>133450.63</v>
      </c>
      <c r="EM7" s="7">
        <v>26581.659</v>
      </c>
      <c r="EN7" s="7">
        <v>56927.555</v>
      </c>
      <c r="EO7" s="7">
        <v>266130.211</v>
      </c>
      <c r="EP7" s="7">
        <v>139220.031</v>
      </c>
      <c r="EQ7" s="7">
        <v>54009.096</v>
      </c>
      <c r="ER7" s="7">
        <v>182581.84</v>
      </c>
      <c r="ES7" s="7">
        <v>140495.22</v>
      </c>
      <c r="ET7" s="7">
        <v>112648.03</v>
      </c>
      <c r="EU7" s="7">
        <v>225834.871</v>
      </c>
      <c r="EV7" s="7">
        <v>261657.242</v>
      </c>
      <c r="EW7" s="7">
        <v>212388.966</v>
      </c>
      <c r="EX7" s="7">
        <v>88808.2959100001</v>
      </c>
    </row>
    <row ht="12.8" outlineLevel="0" r="8">
      <c r="A8" s="4" t="s">
        <v>305</v>
      </c>
      <c r="B8" s="7">
        <v>4622561.62</v>
      </c>
      <c r="C8" s="7">
        <v>1664015.14</v>
      </c>
      <c r="D8" s="7">
        <v>3835252.09</v>
      </c>
      <c r="E8" s="7">
        <v>2438145.34</v>
      </c>
      <c r="F8" s="7">
        <v>2087587.03</v>
      </c>
      <c r="G8" s="7">
        <v>2854623.84</v>
      </c>
      <c r="H8" s="7">
        <v>4939558.19</v>
      </c>
      <c r="I8" s="7">
        <v>2369463.45</v>
      </c>
      <c r="J8" s="7">
        <v>2651683.24</v>
      </c>
      <c r="K8" s="7">
        <v>2561659.89</v>
      </c>
      <c r="L8" s="7">
        <v>2448999.78</v>
      </c>
      <c r="M8" s="7">
        <v>2456102.3</v>
      </c>
      <c r="N8" s="7">
        <v>4887336.49</v>
      </c>
      <c r="O8" s="7">
        <v>2375977.98</v>
      </c>
      <c r="P8" s="7">
        <v>4152878.71</v>
      </c>
      <c r="Q8" s="7">
        <v>2707894.78</v>
      </c>
      <c r="R8" s="7">
        <v>2716192.54</v>
      </c>
      <c r="S8" s="7">
        <v>2810976.57</v>
      </c>
      <c r="T8" s="7">
        <v>5667133.25</v>
      </c>
      <c r="U8" s="7">
        <v>2792981.27</v>
      </c>
      <c r="V8" s="7">
        <v>3903822.31</v>
      </c>
      <c r="W8" s="7">
        <v>2077051.32</v>
      </c>
      <c r="X8" s="7">
        <v>3272695.8</v>
      </c>
      <c r="Y8" s="7">
        <v>3080856.27</v>
      </c>
      <c r="Z8" s="7">
        <v>5960486.62</v>
      </c>
      <c r="AA8" s="7">
        <v>2893486.39</v>
      </c>
      <c r="AB8" s="7">
        <v>4219693.85</v>
      </c>
      <c r="AC8" s="7">
        <v>2543439.35</v>
      </c>
      <c r="AD8" s="7">
        <v>4305217.82</v>
      </c>
      <c r="AE8" s="7">
        <v>3148326.06</v>
      </c>
      <c r="AF8" s="7">
        <v>5673219.33</v>
      </c>
      <c r="AG8" s="7">
        <v>3782183.92</v>
      </c>
      <c r="AH8" s="11">
        <v>4306812.78</v>
      </c>
      <c r="AI8" s="11">
        <v>3254304.51</v>
      </c>
      <c r="AJ8" s="11">
        <v>3156098</v>
      </c>
      <c r="AK8" s="11">
        <v>4732578.03</v>
      </c>
      <c r="AL8" s="11">
        <v>6580084.24</v>
      </c>
      <c r="AM8" s="11">
        <v>3175845.83</v>
      </c>
      <c r="AN8" s="11">
        <v>4598795.31</v>
      </c>
      <c r="AO8" s="11">
        <v>3179714.49</v>
      </c>
      <c r="AP8" s="11">
        <v>3304424.44</v>
      </c>
      <c r="AQ8" s="11">
        <v>2901766.1</v>
      </c>
      <c r="AR8" s="11">
        <v>7214073.5</v>
      </c>
      <c r="AS8" s="11">
        <v>3162401.13</v>
      </c>
      <c r="AT8" s="11">
        <v>4161347.07</v>
      </c>
      <c r="AU8" s="11">
        <v>3329499.7</v>
      </c>
      <c r="AV8" s="11">
        <v>3321874.9</v>
      </c>
      <c r="AW8" s="11">
        <v>2989874.36</v>
      </c>
      <c r="AX8" s="11">
        <v>7266158.48</v>
      </c>
      <c r="AY8" s="11">
        <v>3119441.31</v>
      </c>
      <c r="AZ8" s="11">
        <v>3534739.45</v>
      </c>
      <c r="BA8" s="11">
        <v>3822164.93</v>
      </c>
      <c r="BB8" s="11">
        <v>3467431.28</v>
      </c>
      <c r="BC8" s="11">
        <v>2623049.16</v>
      </c>
      <c r="BD8" s="11">
        <v>7114271.78</v>
      </c>
      <c r="BE8" s="11">
        <v>2829514.97</v>
      </c>
      <c r="BF8" s="11">
        <v>4937545.64</v>
      </c>
      <c r="BG8" s="11">
        <v>3227237.38</v>
      </c>
      <c r="BH8" s="11">
        <v>2911032.71</v>
      </c>
      <c r="BI8" s="11">
        <v>4692414.78</v>
      </c>
      <c r="BJ8" s="11">
        <v>6671818.94</v>
      </c>
      <c r="BK8" s="11">
        <v>3385064.81</v>
      </c>
      <c r="BL8" s="11">
        <v>3160814.98</v>
      </c>
      <c r="BM8" s="12">
        <v>2512825.49</v>
      </c>
      <c r="BN8" s="12">
        <v>2619869.34</v>
      </c>
      <c r="BO8" s="12">
        <v>3366661.13</v>
      </c>
      <c r="BP8" s="12">
        <v>6321801.72</v>
      </c>
      <c r="BQ8" s="12">
        <v>2144813.35</v>
      </c>
      <c r="BR8" s="12">
        <v>3586846.31</v>
      </c>
      <c r="BS8" s="12">
        <v>2581627.99</v>
      </c>
      <c r="BT8" s="12">
        <v>1970434.79</v>
      </c>
      <c r="BU8" s="12">
        <v>3298081.19</v>
      </c>
      <c r="BV8" s="12">
        <v>6732755.175</v>
      </c>
      <c r="BW8" s="12">
        <v>2116036.597</v>
      </c>
      <c r="BX8" s="12">
        <v>3744857.119</v>
      </c>
      <c r="BY8" s="12">
        <v>3761692.286</v>
      </c>
      <c r="BZ8" s="12">
        <v>2015176.73</v>
      </c>
      <c r="CA8" s="12">
        <v>2729994.763</v>
      </c>
      <c r="CB8" s="5">
        <v>7489447.573</v>
      </c>
      <c r="CC8" s="5">
        <v>2822147.17</v>
      </c>
      <c r="CD8" s="5">
        <v>3330149.554</v>
      </c>
      <c r="CE8" s="5">
        <v>2687278.343</v>
      </c>
      <c r="CF8" s="5">
        <v>2396271.37</v>
      </c>
      <c r="CG8" s="13">
        <v>4060598.094</v>
      </c>
      <c r="CH8" s="13">
        <v>8407444.50564</v>
      </c>
      <c r="CI8" s="5">
        <v>2847520.21548</v>
      </c>
      <c r="CJ8" s="5">
        <v>3021493.54126</v>
      </c>
      <c r="CK8" s="5">
        <v>3606013.18112</v>
      </c>
      <c r="CL8" s="7">
        <v>2119003.46195</v>
      </c>
      <c r="CM8" s="7">
        <v>1973279.82551</v>
      </c>
      <c r="CN8" s="7">
        <v>7511106.07717</v>
      </c>
      <c r="CO8" s="7">
        <v>2675039.33771</v>
      </c>
      <c r="CP8" s="7">
        <v>2623861.75784999</v>
      </c>
      <c r="CQ8" s="7">
        <v>3096697.60275001</v>
      </c>
      <c r="CR8" s="7">
        <v>2544616.31813</v>
      </c>
      <c r="CS8" s="7">
        <v>52280.5272300034</v>
      </c>
      <c r="CT8" s="7">
        <v>7682893.87</v>
      </c>
      <c r="CU8" s="7">
        <v>1595966.267</v>
      </c>
      <c r="CV8" s="7">
        <v>2355834.033</v>
      </c>
      <c r="CW8" s="7">
        <v>3309057.463</v>
      </c>
      <c r="CX8" s="7">
        <v>2634416.28</v>
      </c>
      <c r="CY8" s="7">
        <v>2588300.754</v>
      </c>
      <c r="CZ8" s="7">
        <v>7751558.568</v>
      </c>
      <c r="DA8" s="7">
        <v>1940402.938</v>
      </c>
      <c r="DB8" s="7">
        <v>1879723.641</v>
      </c>
      <c r="DC8" s="7">
        <v>2319577.556</v>
      </c>
      <c r="DD8" s="7">
        <v>2089814.997</v>
      </c>
      <c r="DE8" s="7">
        <v>2177585.247</v>
      </c>
      <c r="DF8" s="7">
        <v>8553799.457</v>
      </c>
      <c r="DG8" s="7">
        <v>2499328.471</v>
      </c>
      <c r="DH8" s="7">
        <v>2419328.331</v>
      </c>
      <c r="DI8" s="7">
        <v>2903148.73</v>
      </c>
      <c r="DJ8" s="7">
        <v>3266708.609</v>
      </c>
      <c r="DK8" s="7">
        <v>2541538.234</v>
      </c>
      <c r="DL8" s="7">
        <v>8064596.377</v>
      </c>
      <c r="DM8" s="7">
        <v>2338196.241</v>
      </c>
      <c r="DN8" s="7">
        <v>2081791.272</v>
      </c>
      <c r="DO8" s="7">
        <v>2948570.617</v>
      </c>
      <c r="DP8" s="7">
        <v>2107021.334</v>
      </c>
      <c r="DQ8" s="7">
        <v>2757667.627</v>
      </c>
      <c r="DR8" s="7">
        <v>8464356.879</v>
      </c>
      <c r="DS8" s="7">
        <v>3848868.438</v>
      </c>
      <c r="DT8" s="7">
        <v>3566839.864</v>
      </c>
      <c r="DU8" s="7">
        <v>3834705.094</v>
      </c>
      <c r="DV8" s="7">
        <v>5831355.433</v>
      </c>
      <c r="DW8" s="7">
        <v>3989496.029</v>
      </c>
      <c r="DX8" s="7">
        <v>9719641.434</v>
      </c>
      <c r="DY8" s="7">
        <v>3483188.504</v>
      </c>
      <c r="DZ8" s="7">
        <v>3758818.826</v>
      </c>
      <c r="EA8" s="7">
        <v>3380648.28</v>
      </c>
      <c r="EB8" s="7">
        <v>3087138.819</v>
      </c>
      <c r="EC8" s="7">
        <v>3737484.437</v>
      </c>
      <c r="ED8" s="7">
        <v>8585744.086</v>
      </c>
      <c r="EE8" s="7">
        <v>2845607.913</v>
      </c>
      <c r="EF8" s="7">
        <v>2252617.371</v>
      </c>
      <c r="EG8" s="7">
        <v>1758807.354</v>
      </c>
      <c r="EH8" s="7">
        <v>1765992.545</v>
      </c>
      <c r="EI8" s="7">
        <v>2814597.763</v>
      </c>
      <c r="EJ8" s="7">
        <v>6552090.813</v>
      </c>
      <c r="EK8" s="7">
        <v>1432115.246</v>
      </c>
      <c r="EL8" s="7">
        <v>1409430.044</v>
      </c>
      <c r="EM8" s="7">
        <v>2924638.26</v>
      </c>
      <c r="EN8" s="7">
        <v>1534237.598</v>
      </c>
      <c r="EO8" s="7">
        <v>2383676.946</v>
      </c>
      <c r="EP8" s="7">
        <v>8745327.084</v>
      </c>
      <c r="EQ8" s="7">
        <v>2573924.329</v>
      </c>
      <c r="ER8" s="7">
        <v>3025049.283</v>
      </c>
      <c r="ES8" s="7">
        <v>2760756.673</v>
      </c>
      <c r="ET8" s="7">
        <v>4460713.068</v>
      </c>
      <c r="EU8" s="7">
        <v>2761686.096</v>
      </c>
      <c r="EV8" s="7">
        <v>9179060.584</v>
      </c>
      <c r="EW8" s="7">
        <v>2905186.532</v>
      </c>
      <c r="EX8" s="7">
        <v>2643004.77307</v>
      </c>
    </row>
    <row ht="12.8" outlineLevel="0" r="9">
      <c r="A9" s="4" t="s">
        <v>306</v>
      </c>
      <c r="B9" s="7">
        <v>23051.75</v>
      </c>
      <c r="C9" s="7">
        <v>5654.77</v>
      </c>
      <c r="D9" s="7">
        <v>9501.37</v>
      </c>
      <c r="E9" s="7">
        <v>11857.47</v>
      </c>
      <c r="F9" s="7">
        <v>3099.86</v>
      </c>
      <c r="G9" s="7">
        <v>18108.21</v>
      </c>
      <c r="H9" s="7">
        <v>7306.46</v>
      </c>
      <c r="I9" s="7">
        <v>13340.02</v>
      </c>
      <c r="J9" s="7">
        <v>1828.12</v>
      </c>
      <c r="K9" s="7">
        <v>6886.55</v>
      </c>
      <c r="L9" s="7">
        <v>11205.35</v>
      </c>
      <c r="M9" s="7">
        <v>30301.93</v>
      </c>
      <c r="N9" s="7">
        <v>15705.45</v>
      </c>
      <c r="O9" s="7">
        <v>8910.96</v>
      </c>
      <c r="P9" s="7">
        <v>28402.42</v>
      </c>
      <c r="Q9" s="7">
        <v>15151.53</v>
      </c>
      <c r="R9" s="7">
        <v>19494.62</v>
      </c>
      <c r="S9" s="7">
        <v>10620.69</v>
      </c>
      <c r="T9" s="7">
        <v>12190.03</v>
      </c>
      <c r="U9" s="7">
        <v>11369.05</v>
      </c>
      <c r="V9" s="7">
        <v>11459.49</v>
      </c>
      <c r="W9" s="7">
        <v>19716.24</v>
      </c>
      <c r="X9" s="7">
        <v>31934.62</v>
      </c>
      <c r="Y9" s="7">
        <v>84234.75</v>
      </c>
      <c r="Z9" s="7">
        <v>53010.65</v>
      </c>
      <c r="AA9" s="7">
        <v>7787.88</v>
      </c>
      <c r="AB9" s="7">
        <v>10984.78</v>
      </c>
      <c r="AC9" s="7">
        <v>20413.88</v>
      </c>
      <c r="AD9" s="7">
        <v>18344.8</v>
      </c>
      <c r="AE9" s="7">
        <v>13097.51</v>
      </c>
      <c r="AF9" s="7">
        <v>33297.25</v>
      </c>
      <c r="AG9" s="7">
        <v>18477.28</v>
      </c>
      <c r="AH9" s="11">
        <v>41984.67</v>
      </c>
      <c r="AI9" s="11">
        <v>56753.7</v>
      </c>
      <c r="AJ9" s="11">
        <v>60960.52</v>
      </c>
      <c r="AK9" s="11">
        <v>115566.13</v>
      </c>
      <c r="AL9" s="11">
        <v>51434.66</v>
      </c>
      <c r="AM9" s="11">
        <v>76514.81</v>
      </c>
      <c r="AN9" s="11">
        <v>20102.33</v>
      </c>
      <c r="AO9" s="11">
        <v>56978.88</v>
      </c>
      <c r="AP9" s="11">
        <v>67510.12</v>
      </c>
      <c r="AQ9" s="11">
        <v>39630.63</v>
      </c>
      <c r="AR9" s="11">
        <v>143385.54</v>
      </c>
      <c r="AS9" s="11">
        <v>99088.18</v>
      </c>
      <c r="AT9" s="11">
        <v>57910.23</v>
      </c>
      <c r="AU9" s="11">
        <v>34957.38</v>
      </c>
      <c r="AV9" s="11">
        <v>75701.3</v>
      </c>
      <c r="AW9" s="11">
        <v>121230.8</v>
      </c>
      <c r="AX9" s="11">
        <v>41150.97</v>
      </c>
      <c r="AY9" s="11">
        <v>97908.82</v>
      </c>
      <c r="AZ9" s="11">
        <v>13338.8</v>
      </c>
      <c r="BA9" s="11">
        <v>30432.19</v>
      </c>
      <c r="BB9" s="11">
        <v>30469.69</v>
      </c>
      <c r="BC9" s="11">
        <v>35240.92</v>
      </c>
      <c r="BD9" s="11">
        <v>35833.25</v>
      </c>
      <c r="BE9" s="11">
        <v>55865.44</v>
      </c>
      <c r="BF9" s="11">
        <v>34814</v>
      </c>
      <c r="BG9" s="11">
        <v>32702.82</v>
      </c>
      <c r="BH9" s="11">
        <v>156108.98</v>
      </c>
      <c r="BI9" s="11">
        <v>169106.89</v>
      </c>
      <c r="BJ9" s="11">
        <v>34449.14</v>
      </c>
      <c r="BK9" s="11">
        <v>40610.71</v>
      </c>
      <c r="BL9" s="11">
        <v>35249.35</v>
      </c>
      <c r="BM9" s="12">
        <v>41893.18</v>
      </c>
      <c r="BN9" s="12">
        <v>29197.3</v>
      </c>
      <c r="BO9" s="12">
        <v>29498.27</v>
      </c>
      <c r="BP9" s="12">
        <v>100570.07</v>
      </c>
      <c r="BQ9" s="12">
        <v>61159.98</v>
      </c>
      <c r="BR9" s="12">
        <v>36184.8</v>
      </c>
      <c r="BS9" s="12">
        <v>181922.73</v>
      </c>
      <c r="BT9" s="12">
        <v>106649.51</v>
      </c>
      <c r="BU9" s="12">
        <v>76910.57</v>
      </c>
      <c r="BV9" s="12">
        <v>67712.174</v>
      </c>
      <c r="BW9" s="12">
        <v>164586.35</v>
      </c>
      <c r="BX9" s="12">
        <v>32215.433</v>
      </c>
      <c r="BY9" s="12">
        <v>40230.722</v>
      </c>
      <c r="BZ9" s="12">
        <v>51051.504</v>
      </c>
      <c r="CA9" s="12">
        <v>55976.215</v>
      </c>
      <c r="CB9" s="5">
        <v>49589.525</v>
      </c>
      <c r="CC9" s="5">
        <v>47784.536</v>
      </c>
      <c r="CD9" s="5">
        <v>60782.903</v>
      </c>
      <c r="CE9" s="5">
        <v>76217.856</v>
      </c>
      <c r="CF9" s="5">
        <v>327238.447</v>
      </c>
      <c r="CG9" s="13">
        <v>142456.236</v>
      </c>
      <c r="CH9" s="13">
        <v>250794.67322</v>
      </c>
      <c r="CI9" s="5">
        <v>42948.98166</v>
      </c>
      <c r="CJ9" s="5">
        <v>6189.00935000002</v>
      </c>
      <c r="CK9" s="5">
        <v>42348.35739</v>
      </c>
      <c r="CL9" s="7">
        <v>45939.35741</v>
      </c>
      <c r="CM9" s="7">
        <v>48821.83614</v>
      </c>
      <c r="CN9" s="7">
        <v>132183.7761</v>
      </c>
      <c r="CO9" s="7">
        <v>84379.64661</v>
      </c>
      <c r="CP9" s="7">
        <v>47120.61395</v>
      </c>
      <c r="CQ9" s="7">
        <v>28857.89738</v>
      </c>
      <c r="CR9" s="7">
        <v>252581.26356</v>
      </c>
      <c r="CS9" s="7">
        <v>180007.71032</v>
      </c>
      <c r="CT9" s="7">
        <v>65083.208</v>
      </c>
      <c r="CU9" s="7">
        <v>94879.772</v>
      </c>
      <c r="CV9" s="7">
        <v>91864.672</v>
      </c>
      <c r="CW9" s="7">
        <v>161249.046</v>
      </c>
      <c r="CX9" s="7">
        <v>83864.651</v>
      </c>
      <c r="CY9" s="7">
        <v>72909.299</v>
      </c>
      <c r="CZ9" s="7">
        <v>85197.954</v>
      </c>
      <c r="DA9" s="7">
        <v>99801.036</v>
      </c>
      <c r="DB9" s="7">
        <v>205600.677</v>
      </c>
      <c r="DC9" s="7">
        <v>101957.165</v>
      </c>
      <c r="DD9" s="7">
        <v>123080.071</v>
      </c>
      <c r="DE9" s="7">
        <v>201980.413</v>
      </c>
      <c r="DF9" s="7">
        <v>81490.478</v>
      </c>
      <c r="DG9" s="7">
        <v>103218.823</v>
      </c>
      <c r="DH9" s="7">
        <v>232238.177</v>
      </c>
      <c r="DI9" s="7">
        <v>98167.256</v>
      </c>
      <c r="DJ9" s="7">
        <v>76803.857</v>
      </c>
      <c r="DK9" s="7">
        <v>60961.773</v>
      </c>
      <c r="DL9" s="7">
        <v>69991.453</v>
      </c>
      <c r="DM9" s="7">
        <v>92999.307</v>
      </c>
      <c r="DN9" s="7">
        <v>64500.131</v>
      </c>
      <c r="DO9" s="7">
        <v>97758.018</v>
      </c>
      <c r="DP9" s="7">
        <v>95015.05</v>
      </c>
      <c r="DQ9" s="7">
        <v>161938.112</v>
      </c>
      <c r="DR9" s="7">
        <v>72661.228</v>
      </c>
      <c r="DS9" s="7">
        <v>180370.305</v>
      </c>
      <c r="DT9" s="7">
        <v>97754.485</v>
      </c>
      <c r="DU9" s="7">
        <v>82618.143</v>
      </c>
      <c r="DV9" s="7">
        <v>173313.088</v>
      </c>
      <c r="DW9" s="7">
        <v>76001.158</v>
      </c>
      <c r="DX9" s="7">
        <v>129886.513</v>
      </c>
      <c r="DY9" s="7">
        <v>88175.061</v>
      </c>
      <c r="DZ9" s="7">
        <v>50384.921</v>
      </c>
      <c r="EA9" s="7">
        <v>85227.65</v>
      </c>
      <c r="EB9" s="7">
        <v>81531.399</v>
      </c>
      <c r="EC9" s="7">
        <v>139796.672</v>
      </c>
      <c r="ED9" s="7">
        <v>62857.531</v>
      </c>
      <c r="EE9" s="7">
        <v>40080.474</v>
      </c>
      <c r="EF9" s="7">
        <v>55831.862</v>
      </c>
      <c r="EG9" s="7">
        <v>34981.041</v>
      </c>
      <c r="EH9" s="7">
        <v>49554.65</v>
      </c>
      <c r="EI9" s="7">
        <v>40526.366</v>
      </c>
      <c r="EJ9" s="7">
        <v>50721.598</v>
      </c>
      <c r="EK9" s="7">
        <v>43341.172</v>
      </c>
      <c r="EL9" s="7">
        <v>63284.301</v>
      </c>
      <c r="EM9" s="7">
        <v>18754.751</v>
      </c>
      <c r="EN9" s="7">
        <v>35538.051</v>
      </c>
      <c r="EO9" s="7">
        <v>78097.09</v>
      </c>
      <c r="EP9" s="7">
        <v>40701.218</v>
      </c>
      <c r="EQ9" s="7">
        <v>27234.074</v>
      </c>
      <c r="ER9" s="7">
        <v>31212.56</v>
      </c>
      <c r="ES9" s="7">
        <v>39524.867</v>
      </c>
      <c r="ET9" s="7">
        <v>54450.464</v>
      </c>
      <c r="EU9" s="7">
        <v>87355.172</v>
      </c>
      <c r="EV9" s="7">
        <v>59267.311</v>
      </c>
      <c r="EW9" s="7">
        <v>73458.137</v>
      </c>
      <c r="EX9" s="7">
        <v>101622.79657</v>
      </c>
    </row>
    <row ht="12.8" outlineLevel="0" r="10">
      <c r="A10" s="4" t="s">
        <v>307</v>
      </c>
      <c r="B10" s="7">
        <v>17065.64</v>
      </c>
      <c r="C10" s="7">
        <v>-10671.34</v>
      </c>
      <c r="D10" s="7">
        <v>2254.26</v>
      </c>
      <c r="E10" s="7">
        <v>-2140.48</v>
      </c>
      <c r="F10" s="7">
        <v>-2437.64</v>
      </c>
      <c r="G10" s="7">
        <v>16296.27</v>
      </c>
      <c r="H10" s="7">
        <v>-1459.24</v>
      </c>
      <c r="I10" s="7">
        <v>-1050.5</v>
      </c>
      <c r="J10" s="7">
        <v>-3300.71</v>
      </c>
      <c r="K10" s="7">
        <v>49328.44</v>
      </c>
      <c r="L10" s="7">
        <v>-42855.53</v>
      </c>
      <c r="M10" s="7">
        <v>-21029.17</v>
      </c>
      <c r="N10" s="7">
        <v>18899.03</v>
      </c>
      <c r="O10" s="7">
        <v>-1110.14</v>
      </c>
      <c r="P10" s="7">
        <v>-14189.91</v>
      </c>
      <c r="Q10" s="7">
        <v>10428.12</v>
      </c>
      <c r="R10" s="7">
        <v>-5190.21</v>
      </c>
      <c r="S10" s="7">
        <v>10039.35</v>
      </c>
      <c r="T10" s="7">
        <v>11970.39</v>
      </c>
      <c r="U10" s="7">
        <v>-1432.58</v>
      </c>
      <c r="V10" s="7">
        <v>8336.3</v>
      </c>
      <c r="W10" s="7">
        <v>13768.83</v>
      </c>
      <c r="X10" s="7">
        <v>9360.01</v>
      </c>
      <c r="Y10" s="7">
        <v>-60879.19</v>
      </c>
      <c r="Z10" s="7">
        <v>5245.24</v>
      </c>
      <c r="AA10" s="7">
        <v>-2897.09</v>
      </c>
      <c r="AB10" s="7">
        <v>-11.46</v>
      </c>
      <c r="AC10" s="7">
        <v>-859.97</v>
      </c>
      <c r="AD10" s="7">
        <v>2039.26</v>
      </c>
      <c r="AE10" s="7">
        <v>-74.4</v>
      </c>
      <c r="AF10" s="7">
        <v>1060.72</v>
      </c>
      <c r="AG10" s="7">
        <v>-740.56</v>
      </c>
      <c r="AH10" s="11">
        <v>141.53</v>
      </c>
      <c r="AI10" s="11">
        <v>4854.61</v>
      </c>
      <c r="AJ10" s="11">
        <v>-392.62</v>
      </c>
      <c r="AK10" s="11">
        <v>-8365.27</v>
      </c>
      <c r="AL10" s="11">
        <v>0.7</v>
      </c>
      <c r="AM10" s="11">
        <v>0.02</v>
      </c>
      <c r="AN10" s="11">
        <v>30.83</v>
      </c>
      <c r="AO10" s="11">
        <v>-18.01</v>
      </c>
      <c r="AP10" s="11">
        <v>-9.57</v>
      </c>
      <c r="AQ10" s="11">
        <v>2588.25</v>
      </c>
      <c r="AR10" s="11">
        <v>81.36</v>
      </c>
      <c r="AS10" s="11">
        <v>-23.15</v>
      </c>
      <c r="AT10" s="11">
        <v>-58.22</v>
      </c>
      <c r="AU10" s="11">
        <v>546.5</v>
      </c>
      <c r="AV10" s="11">
        <v>-532.27</v>
      </c>
      <c r="AW10" s="11">
        <v>-2606.43</v>
      </c>
      <c r="AX10" s="11">
        <v>32.63</v>
      </c>
      <c r="AY10" s="11">
        <v>70.16</v>
      </c>
      <c r="AZ10" s="11">
        <v>302.44</v>
      </c>
      <c r="BA10" s="11">
        <v>24.69</v>
      </c>
      <c r="BB10" s="11">
        <v>120.07</v>
      </c>
      <c r="BC10" s="11">
        <v>-18.89</v>
      </c>
      <c r="BD10" s="11">
        <v>2532.92</v>
      </c>
      <c r="BE10" s="11">
        <v>54.02</v>
      </c>
      <c r="BF10" s="11">
        <v>7.8</v>
      </c>
      <c r="BG10" s="11">
        <v>9.43</v>
      </c>
      <c r="BH10" s="11">
        <v>-11.96</v>
      </c>
      <c r="BI10" s="11">
        <v>-3023.73</v>
      </c>
      <c r="BJ10" s="11">
        <v>36.38</v>
      </c>
      <c r="BK10" s="11">
        <v>135.2</v>
      </c>
      <c r="BL10" s="11">
        <v>-184.67</v>
      </c>
      <c r="BM10" s="12">
        <v>54.21</v>
      </c>
      <c r="BN10" s="12">
        <v>-37.27</v>
      </c>
      <c r="BO10" s="12">
        <v>-0.69</v>
      </c>
      <c r="BP10" s="12">
        <v>1407.29</v>
      </c>
      <c r="BQ10" s="12">
        <v>13.6</v>
      </c>
      <c r="BR10" s="12">
        <v>-7.68</v>
      </c>
      <c r="BS10" s="12">
        <v>3.52</v>
      </c>
      <c r="BT10" s="12">
        <v>-2.57</v>
      </c>
      <c r="BU10" s="12">
        <v>-1417.34</v>
      </c>
      <c r="BV10" s="12">
        <v>-909144.522</v>
      </c>
      <c r="BW10" s="12">
        <v>-588137.608</v>
      </c>
      <c r="BX10" s="12">
        <v>-746409.401</v>
      </c>
      <c r="BY10" s="12">
        <v>740493.767</v>
      </c>
      <c r="BZ10" s="12">
        <v>3938618.706</v>
      </c>
      <c r="CA10" s="12">
        <v>736514.322</v>
      </c>
      <c r="CB10" s="5">
        <v>1959353.022</v>
      </c>
      <c r="CC10" s="5">
        <v>2590444.62</v>
      </c>
      <c r="CD10" s="5">
        <v>40432.316</v>
      </c>
      <c r="CE10" s="5">
        <v>846552.136</v>
      </c>
      <c r="CF10" s="5">
        <v>710809.786</v>
      </c>
      <c r="CG10" s="13">
        <v>-85801.987</v>
      </c>
      <c r="CH10" s="13">
        <v>892727.88762</v>
      </c>
      <c r="CI10" s="5">
        <v>824299.92486</v>
      </c>
      <c r="CJ10" s="5">
        <v>792898.3342</v>
      </c>
      <c r="CK10" s="5">
        <v>787933.3313</v>
      </c>
      <c r="CL10" s="7">
        <v>-740012.80995</v>
      </c>
      <c r="CM10" s="7">
        <v>754612.30007</v>
      </c>
      <c r="CN10" s="7">
        <v>882355.40115</v>
      </c>
      <c r="CO10" s="7">
        <v>838196.245</v>
      </c>
      <c r="CP10" s="7">
        <v>721055.14413</v>
      </c>
      <c r="CQ10" s="7">
        <v>-520624.11987</v>
      </c>
      <c r="CR10" s="7">
        <v>777579.22813</v>
      </c>
      <c r="CS10" s="7">
        <v>889809.357429999</v>
      </c>
      <c r="CT10" s="7">
        <v>652266.987</v>
      </c>
      <c r="CU10" s="7">
        <v>-529975.177</v>
      </c>
      <c r="CV10" s="7">
        <v>767181.22</v>
      </c>
      <c r="CW10" s="7">
        <v>-175675.437</v>
      </c>
      <c r="CX10" s="7">
        <v>1833600.888</v>
      </c>
      <c r="CY10" s="7">
        <v>757243.208</v>
      </c>
      <c r="CZ10" s="7">
        <v>-476412.935</v>
      </c>
      <c r="DA10" s="7">
        <v>2135138.092</v>
      </c>
      <c r="DB10" s="7">
        <v>3112344.715</v>
      </c>
      <c r="DC10" s="7">
        <v>1698953.539</v>
      </c>
      <c r="DD10" s="7">
        <v>-28289786.17</v>
      </c>
      <c r="DE10" s="7">
        <v>-16077587.144</v>
      </c>
      <c r="DF10" s="7">
        <v>1.834</v>
      </c>
      <c r="DG10" s="7">
        <v>-1.834</v>
      </c>
      <c r="DH10" s="7">
        <v>40.931</v>
      </c>
      <c r="DI10" s="7">
        <v>43.114</v>
      </c>
      <c r="DJ10" s="7">
        <v>-38.723</v>
      </c>
      <c r="DK10" s="7">
        <v>0.081</v>
      </c>
      <c r="DL10" s="7">
        <v>0</v>
      </c>
      <c r="DM10" s="7">
        <v>-191.677</v>
      </c>
      <c r="DN10" s="7">
        <v>-72.014</v>
      </c>
      <c r="DO10" s="7">
        <v>271.964</v>
      </c>
      <c r="DP10" s="7">
        <v>78.586</v>
      </c>
      <c r="DQ10" s="7">
        <v>-80.544</v>
      </c>
      <c r="DR10" s="7">
        <v>53.05</v>
      </c>
      <c r="DS10" s="7">
        <v>-53.05</v>
      </c>
      <c r="DT10" s="7">
        <v>-175.301</v>
      </c>
      <c r="DU10" s="7">
        <v>176.173</v>
      </c>
      <c r="DV10" s="7">
        <v>-1.234</v>
      </c>
      <c r="DW10" s="7">
        <v>0.039</v>
      </c>
      <c r="DX10" s="7">
        <v>-0.061</v>
      </c>
      <c r="DY10" s="7">
        <v>1.544</v>
      </c>
      <c r="DZ10" s="7">
        <v>-1.522</v>
      </c>
      <c r="EA10" s="7">
        <v>0</v>
      </c>
      <c r="EB10" s="7">
        <v>67.498</v>
      </c>
      <c r="EC10" s="7">
        <v>-67.498</v>
      </c>
      <c r="ED10" s="7">
        <v>0</v>
      </c>
      <c r="EE10" s="7">
        <v>0</v>
      </c>
      <c r="EF10" s="7">
        <v>0</v>
      </c>
      <c r="EG10" s="7">
        <v>2.559</v>
      </c>
      <c r="EH10" s="7">
        <v>-2.559</v>
      </c>
      <c r="EI10" s="7">
        <v>0</v>
      </c>
      <c r="EJ10" s="7">
        <v>0</v>
      </c>
      <c r="EK10" s="7">
        <v>5.924</v>
      </c>
      <c r="EL10" s="7">
        <v>60.519</v>
      </c>
      <c r="EM10" s="7">
        <v>-19.385</v>
      </c>
      <c r="EN10" s="7">
        <v>-20.253</v>
      </c>
      <c r="EO10" s="7">
        <v>67.565</v>
      </c>
      <c r="EP10" s="7">
        <v>0.16</v>
      </c>
      <c r="EQ10" s="7">
        <v>-0.16</v>
      </c>
      <c r="ER10" s="7">
        <v>3.486</v>
      </c>
      <c r="ES10" s="7">
        <v>0</v>
      </c>
      <c r="ET10" s="7">
        <v>0</v>
      </c>
      <c r="EU10" s="7">
        <v>172.257</v>
      </c>
      <c r="EV10" s="7">
        <v>2713.494</v>
      </c>
      <c r="EW10" s="7">
        <v>267.979</v>
      </c>
      <c r="EX10" s="7">
        <v>-2134.9856</v>
      </c>
    </row>
    <row ht="12.8" outlineLevel="0" r="11">
      <c r="A11" s="4" t="s">
        <v>308</v>
      </c>
      <c r="B11" s="7">
        <v>2789959.55</v>
      </c>
      <c r="C11" s="7">
        <v>2612708.96</v>
      </c>
      <c r="D11" s="7">
        <v>2485335.36</v>
      </c>
      <c r="E11" s="7">
        <v>2425224.01</v>
      </c>
      <c r="F11" s="7">
        <v>2466588.24</v>
      </c>
      <c r="G11" s="7">
        <v>2568996.61</v>
      </c>
      <c r="H11" s="7">
        <v>2360072.55</v>
      </c>
      <c r="I11" s="7">
        <v>3702160.6</v>
      </c>
      <c r="J11" s="7">
        <v>362172.82</v>
      </c>
      <c r="K11" s="7">
        <v>4222238.06</v>
      </c>
      <c r="L11" s="7">
        <v>9999051.65</v>
      </c>
      <c r="M11" s="7">
        <v>3975875.43</v>
      </c>
      <c r="N11" s="7">
        <v>1661797.55</v>
      </c>
      <c r="O11" s="7">
        <v>1747630.99</v>
      </c>
      <c r="P11" s="7">
        <v>2171729.81</v>
      </c>
      <c r="Q11" s="7">
        <v>1953764.26</v>
      </c>
      <c r="R11" s="7">
        <v>3492454.84</v>
      </c>
      <c r="S11" s="7">
        <v>1871159.59</v>
      </c>
      <c r="T11" s="7">
        <v>1947794.4</v>
      </c>
      <c r="U11" s="7">
        <v>2216312.27</v>
      </c>
      <c r="V11" s="7">
        <v>2074083.82</v>
      </c>
      <c r="W11" s="7">
        <v>2181701.05</v>
      </c>
      <c r="X11" s="7">
        <v>2063429.36</v>
      </c>
      <c r="Y11" s="7">
        <v>2928281.31</v>
      </c>
      <c r="Z11" s="7">
        <v>2320428.38</v>
      </c>
      <c r="AA11" s="7">
        <v>2519457.71</v>
      </c>
      <c r="AB11" s="7">
        <v>2669205.37</v>
      </c>
      <c r="AC11" s="7">
        <v>2139887.47</v>
      </c>
      <c r="AD11" s="7">
        <v>2281595.12</v>
      </c>
      <c r="AE11" s="7">
        <v>2252517.43</v>
      </c>
      <c r="AF11" s="7">
        <v>3657528.43</v>
      </c>
      <c r="AG11" s="7">
        <v>3118114.5</v>
      </c>
      <c r="AH11" s="11">
        <v>2288200.3</v>
      </c>
      <c r="AI11" s="11">
        <v>2245536.17</v>
      </c>
      <c r="AJ11" s="11">
        <v>2291431.17</v>
      </c>
      <c r="AK11" s="11">
        <v>2975542.64</v>
      </c>
      <c r="AL11" s="11">
        <v>6433712.38</v>
      </c>
      <c r="AM11" s="11">
        <v>2699328.45</v>
      </c>
      <c r="AN11" s="11">
        <v>3129086.34</v>
      </c>
      <c r="AO11" s="11">
        <v>2725829.39</v>
      </c>
      <c r="AP11" s="11">
        <v>2874698.6</v>
      </c>
      <c r="AQ11" s="11">
        <v>3335245.36</v>
      </c>
      <c r="AR11" s="11">
        <v>20507074.66</v>
      </c>
      <c r="AS11" s="11">
        <v>3351065.06</v>
      </c>
      <c r="AT11" s="11">
        <v>3144770.87</v>
      </c>
      <c r="AU11" s="11">
        <v>3462989.6</v>
      </c>
      <c r="AV11" s="11">
        <v>3309498.79</v>
      </c>
      <c r="AW11" s="11">
        <v>10975222</v>
      </c>
      <c r="AX11" s="11">
        <v>3943697.33</v>
      </c>
      <c r="AY11" s="11">
        <v>3034801.42</v>
      </c>
      <c r="AZ11" s="11">
        <v>3553144.69</v>
      </c>
      <c r="BA11" s="11">
        <v>4199584.44</v>
      </c>
      <c r="BB11" s="11">
        <v>3640969.82</v>
      </c>
      <c r="BC11" s="11">
        <v>7852692.92</v>
      </c>
      <c r="BD11" s="11">
        <v>4059867.89</v>
      </c>
      <c r="BE11" s="11">
        <v>4049736.59</v>
      </c>
      <c r="BF11" s="11">
        <v>4027343.98</v>
      </c>
      <c r="BG11" s="11">
        <v>3767138.42</v>
      </c>
      <c r="BH11" s="11">
        <v>3350559.03</v>
      </c>
      <c r="BI11" s="11">
        <v>19022286.09</v>
      </c>
      <c r="BJ11" s="11">
        <v>4112216.5</v>
      </c>
      <c r="BK11" s="11">
        <v>3054729.95</v>
      </c>
      <c r="BL11" s="11">
        <v>3542979.26</v>
      </c>
      <c r="BM11" s="12">
        <v>3693381.23</v>
      </c>
      <c r="BN11" s="12">
        <v>3545349.21</v>
      </c>
      <c r="BO11" s="12">
        <v>3690051.95</v>
      </c>
      <c r="BP11" s="12">
        <v>3738078.8</v>
      </c>
      <c r="BQ11" s="12">
        <v>5578609.23</v>
      </c>
      <c r="BR11" s="12">
        <v>3214822.13</v>
      </c>
      <c r="BS11" s="12">
        <v>3266026.47</v>
      </c>
      <c r="BT11" s="12">
        <v>4542246.6</v>
      </c>
      <c r="BU11" s="12">
        <v>4365934.27</v>
      </c>
      <c r="BV11" s="12">
        <v>3752487.477</v>
      </c>
      <c r="BW11" s="12">
        <v>2730729.361</v>
      </c>
      <c r="BX11" s="12">
        <v>4499369.663</v>
      </c>
      <c r="BY11" s="12">
        <v>3223220.835</v>
      </c>
      <c r="BZ11" s="12">
        <v>3692601.499</v>
      </c>
      <c r="CA11" s="12">
        <v>4747139.847</v>
      </c>
      <c r="CB11" s="5">
        <v>4676550.686</v>
      </c>
      <c r="CC11" s="5">
        <v>5776381.426</v>
      </c>
      <c r="CD11" s="5">
        <v>5179770.027</v>
      </c>
      <c r="CE11" s="5">
        <v>3551410.67</v>
      </c>
      <c r="CF11" s="5">
        <v>3470848.869</v>
      </c>
      <c r="CG11" s="13">
        <v>3453582.324</v>
      </c>
      <c r="CH11" s="13">
        <v>2193665.89723</v>
      </c>
      <c r="CI11" s="5">
        <v>1250637.32478</v>
      </c>
      <c r="CJ11" s="5">
        <v>2069321.90607</v>
      </c>
      <c r="CK11" s="5">
        <v>2071626.38288</v>
      </c>
      <c r="CL11" s="7">
        <v>1355677.09087</v>
      </c>
      <c r="CM11" s="7">
        <v>114114.03802</v>
      </c>
      <c r="CN11" s="7">
        <v>2737263.13967</v>
      </c>
      <c r="CO11" s="7">
        <v>1731824.13772</v>
      </c>
      <c r="CP11" s="7">
        <v>2054783.55287</v>
      </c>
      <c r="CQ11" s="7">
        <v>24124787.08063</v>
      </c>
      <c r="CR11" s="7">
        <v>2177319.86444</v>
      </c>
      <c r="CS11" s="7">
        <v>6519108.8359</v>
      </c>
      <c r="CT11" s="7">
        <v>14486113.51</v>
      </c>
      <c r="CU11" s="7">
        <v>1971235.51</v>
      </c>
      <c r="CV11" s="7">
        <v>2753298.487</v>
      </c>
      <c r="CW11" s="7">
        <v>2195106.855</v>
      </c>
      <c r="CX11" s="7">
        <v>1825447.159</v>
      </c>
      <c r="CY11" s="7">
        <v>1700086.878</v>
      </c>
      <c r="CZ11" s="7">
        <v>2639526.968</v>
      </c>
      <c r="DA11" s="7">
        <v>7775442.309</v>
      </c>
      <c r="DB11" s="7">
        <v>1596609.837</v>
      </c>
      <c r="DC11" s="7">
        <v>3117856.939</v>
      </c>
      <c r="DD11" s="7">
        <v>5851632.174</v>
      </c>
      <c r="DE11" s="7">
        <v>-8657163.078</v>
      </c>
      <c r="DF11" s="7">
        <v>3715242.348</v>
      </c>
      <c r="DG11" s="7">
        <v>2299829.801</v>
      </c>
      <c r="DH11" s="7">
        <v>2139823.599</v>
      </c>
      <c r="DI11" s="7">
        <v>4359331.355</v>
      </c>
      <c r="DJ11" s="7">
        <v>2031515.35</v>
      </c>
      <c r="DK11" s="7">
        <v>2364825.401</v>
      </c>
      <c r="DL11" s="7">
        <v>2304241.114</v>
      </c>
      <c r="DM11" s="7">
        <v>1809234.897</v>
      </c>
      <c r="DN11" s="7">
        <v>-1156395.481</v>
      </c>
      <c r="DO11" s="7">
        <v>1700125.127</v>
      </c>
      <c r="DP11" s="7">
        <v>1841018.354</v>
      </c>
      <c r="DQ11" s="7">
        <v>2956715.794</v>
      </c>
      <c r="DR11" s="7">
        <v>2890471.84</v>
      </c>
      <c r="DS11" s="7">
        <v>2694708</v>
      </c>
      <c r="DT11" s="7">
        <v>2613606.118</v>
      </c>
      <c r="DU11" s="7">
        <v>2028896.284</v>
      </c>
      <c r="DV11" s="7">
        <v>1660461.536</v>
      </c>
      <c r="DW11" s="7">
        <v>1151255.347</v>
      </c>
      <c r="DX11" s="7">
        <v>2955190.832</v>
      </c>
      <c r="DY11" s="7">
        <v>2278831.658</v>
      </c>
      <c r="DZ11" s="7">
        <v>4758183.573</v>
      </c>
      <c r="EA11" s="7">
        <v>2275347.072</v>
      </c>
      <c r="EB11" s="7">
        <v>2085600.765</v>
      </c>
      <c r="EC11" s="7">
        <v>2362203.208</v>
      </c>
      <c r="ED11" s="7">
        <v>2785648.704</v>
      </c>
      <c r="EE11" s="7">
        <v>4092329.5</v>
      </c>
      <c r="EF11" s="7">
        <v>2159985.71</v>
      </c>
      <c r="EG11" s="7">
        <v>1515479.734</v>
      </c>
      <c r="EH11" s="7">
        <v>3387100.018</v>
      </c>
      <c r="EI11" s="7">
        <v>10496806.875</v>
      </c>
      <c r="EJ11" s="7">
        <v>2225984.849</v>
      </c>
      <c r="EK11" s="7">
        <v>3059666.525</v>
      </c>
      <c r="EL11" s="7">
        <v>1291653.287</v>
      </c>
      <c r="EM11" s="7">
        <v>1845179.213</v>
      </c>
      <c r="EN11" s="7">
        <v>2604284.701</v>
      </c>
      <c r="EO11" s="7">
        <v>2840133.304</v>
      </c>
      <c r="EP11" s="7">
        <v>8210559.387</v>
      </c>
      <c r="EQ11" s="7">
        <v>2694063.595</v>
      </c>
      <c r="ER11" s="7">
        <v>4705742.314</v>
      </c>
      <c r="ES11" s="7">
        <v>4203512.771</v>
      </c>
      <c r="ET11" s="7">
        <v>10651268.683</v>
      </c>
      <c r="EU11" s="7">
        <v>2220455.01</v>
      </c>
      <c r="EV11" s="7">
        <v>2294521.13</v>
      </c>
      <c r="EW11" s="7">
        <v>2525692.244</v>
      </c>
      <c r="EX11" s="7">
        <v>3039981.2658</v>
      </c>
    </row>
    <row ht="12.8" outlineLevel="0" r="12">
      <c r="A12" s="4" t="s">
        <v>309</v>
      </c>
      <c r="B12" s="7">
        <v>26043538.75</v>
      </c>
      <c r="C12" s="7">
        <v>26150781.79</v>
      </c>
      <c r="D12" s="7">
        <v>23634595.42</v>
      </c>
      <c r="E12" s="7">
        <v>26117287.59</v>
      </c>
      <c r="F12" s="7">
        <v>28677171.44</v>
      </c>
      <c r="G12" s="7">
        <v>28004689.26</v>
      </c>
      <c r="H12" s="7">
        <v>20886116.88</v>
      </c>
      <c r="I12" s="7">
        <v>26202151.15</v>
      </c>
      <c r="J12" s="7">
        <v>24516525.22</v>
      </c>
      <c r="K12" s="7">
        <v>27221068.44</v>
      </c>
      <c r="L12" s="7">
        <v>31610024.41</v>
      </c>
      <c r="M12" s="7">
        <v>49143387.02</v>
      </c>
      <c r="N12" s="7">
        <v>26640951.13</v>
      </c>
      <c r="O12" s="7">
        <v>31072683.18</v>
      </c>
      <c r="P12" s="7">
        <v>27737582.18</v>
      </c>
      <c r="Q12" s="7">
        <v>24867978.19</v>
      </c>
      <c r="R12" s="7">
        <v>34372044.93</v>
      </c>
      <c r="S12" s="7">
        <v>29722030.78</v>
      </c>
      <c r="T12" s="7">
        <v>28263799.86</v>
      </c>
      <c r="U12" s="7">
        <v>31574670.39</v>
      </c>
      <c r="V12" s="7">
        <v>28737515.94</v>
      </c>
      <c r="W12" s="7">
        <v>32633000.51</v>
      </c>
      <c r="X12" s="7">
        <v>33577182.16</v>
      </c>
      <c r="Y12" s="7">
        <v>61070981.74</v>
      </c>
      <c r="Z12" s="7">
        <v>37387941.13</v>
      </c>
      <c r="AA12" s="7">
        <v>37640748.6</v>
      </c>
      <c r="AB12" s="7">
        <v>26336401.3</v>
      </c>
      <c r="AC12" s="7">
        <v>37349259.72</v>
      </c>
      <c r="AD12" s="7">
        <v>39352089.81</v>
      </c>
      <c r="AE12" s="7">
        <v>36865998.25</v>
      </c>
      <c r="AF12" s="7">
        <v>35711508.78</v>
      </c>
      <c r="AG12" s="7">
        <v>39072925.91</v>
      </c>
      <c r="AH12" s="8">
        <v>35532176.05</v>
      </c>
      <c r="AI12" s="8">
        <v>39628702.23</v>
      </c>
      <c r="AJ12" s="8">
        <v>39984227.1</v>
      </c>
      <c r="AK12" s="8">
        <v>66045102.34</v>
      </c>
      <c r="AL12" s="8">
        <v>39398135.4</v>
      </c>
      <c r="AM12" s="8">
        <v>39491256.79</v>
      </c>
      <c r="AN12" s="8">
        <v>39060985.86</v>
      </c>
      <c r="AO12" s="8">
        <v>41228827.91</v>
      </c>
      <c r="AP12" s="8">
        <v>43664183.39</v>
      </c>
      <c r="AQ12" s="8">
        <v>39809880.04</v>
      </c>
      <c r="AR12" s="8">
        <v>40529583.37</v>
      </c>
      <c r="AS12" s="8">
        <v>41589449.83</v>
      </c>
      <c r="AT12" s="8">
        <v>37296784.07</v>
      </c>
      <c r="AU12" s="8">
        <v>39338259.22</v>
      </c>
      <c r="AV12" s="8">
        <v>46210049.8</v>
      </c>
      <c r="AW12" s="8">
        <v>70166590.55</v>
      </c>
      <c r="AX12" s="8">
        <v>43042354.89</v>
      </c>
      <c r="AY12" s="8">
        <v>48840252.13</v>
      </c>
      <c r="AZ12" s="8">
        <v>39900083</v>
      </c>
      <c r="BA12" s="8">
        <v>37691757.76</v>
      </c>
      <c r="BB12" s="8">
        <v>47302887.75</v>
      </c>
      <c r="BC12" s="8">
        <v>43098244.65</v>
      </c>
      <c r="BD12" s="8">
        <v>40293459.2</v>
      </c>
      <c r="BE12" s="8">
        <v>45211058.44</v>
      </c>
      <c r="BF12" s="8">
        <v>41643881.31</v>
      </c>
      <c r="BG12" s="8">
        <v>42640222.37</v>
      </c>
      <c r="BH12" s="8">
        <v>48087655.25</v>
      </c>
      <c r="BI12" s="8">
        <v>85799734.37</v>
      </c>
      <c r="BJ12" s="8">
        <v>40687148</v>
      </c>
      <c r="BK12" s="8">
        <v>52018779.9</v>
      </c>
      <c r="BL12" s="8">
        <v>42528240.96</v>
      </c>
      <c r="BM12" s="8">
        <v>45267376.36</v>
      </c>
      <c r="BN12" s="8">
        <v>50378288.79</v>
      </c>
      <c r="BO12" s="8">
        <v>45304841.81</v>
      </c>
      <c r="BP12" s="8">
        <v>43506303.85</v>
      </c>
      <c r="BQ12" s="8">
        <v>48734458.1</v>
      </c>
      <c r="BR12" s="8">
        <v>45047023.31</v>
      </c>
      <c r="BS12" s="8">
        <v>46074622.11</v>
      </c>
      <c r="BT12" s="8">
        <v>52195999.24</v>
      </c>
      <c r="BU12" s="8">
        <v>89958852.4</v>
      </c>
      <c r="BV12" s="8">
        <v>43107096.32668</v>
      </c>
      <c r="BW12" s="8">
        <v>52495106.10151</v>
      </c>
      <c r="BX12" s="8">
        <v>45656766.8292</v>
      </c>
      <c r="BY12" s="8">
        <v>49699593.59668</v>
      </c>
      <c r="BZ12" s="8">
        <v>51695441.28498</v>
      </c>
      <c r="CA12" s="8">
        <v>48197673.89461</v>
      </c>
      <c r="CB12" s="9">
        <v>46457512.9912</v>
      </c>
      <c r="CC12" s="9">
        <v>48021674.80398</v>
      </c>
      <c r="CD12" s="9">
        <v>44829653.06867</v>
      </c>
      <c r="CE12" s="9">
        <v>47688830.11002</v>
      </c>
      <c r="CF12" s="9">
        <v>50176394.60679</v>
      </c>
      <c r="CG12" s="9">
        <v>79966315.9509801</v>
      </c>
      <c r="CH12" s="9">
        <v>43927579.41458</v>
      </c>
      <c r="CI12" s="9">
        <v>54099359.97442</v>
      </c>
      <c r="CJ12" s="9">
        <v>46307603.20255</v>
      </c>
      <c r="CK12" s="9">
        <v>49638072.58498</v>
      </c>
      <c r="CL12" s="9">
        <v>55099170.80288</v>
      </c>
      <c r="CM12" s="9">
        <v>50762328.40215</v>
      </c>
      <c r="CN12" s="9">
        <v>48614888.10129</v>
      </c>
      <c r="CO12" s="9">
        <v>47998242.06534</v>
      </c>
      <c r="CP12" s="9">
        <v>47627956.68979</v>
      </c>
      <c r="CQ12" s="9">
        <v>49187015.15062</v>
      </c>
      <c r="CR12" s="9">
        <v>60124067.44456</v>
      </c>
      <c r="CS12" s="9">
        <v>97234002.92126</v>
      </c>
      <c r="CT12" s="10">
        <v>47644679.86877</v>
      </c>
      <c r="CU12" s="10">
        <v>58556163.23679</v>
      </c>
      <c r="CV12" s="10">
        <v>49477416.19046</v>
      </c>
      <c r="CW12" s="10">
        <v>52712997.97261</v>
      </c>
      <c r="CX12" s="10">
        <v>56342150.9775</v>
      </c>
      <c r="CY12" s="10">
        <v>52953997.38569</v>
      </c>
      <c r="CZ12" s="10">
        <v>54142325.85142</v>
      </c>
      <c r="DA12" s="10">
        <v>54224996.45374</v>
      </c>
      <c r="DB12" s="10">
        <v>49695391.0807</v>
      </c>
      <c r="DC12" s="10">
        <v>53610453.76485</v>
      </c>
      <c r="DD12" s="10">
        <v>61390432.75613</v>
      </c>
      <c r="DE12" s="10">
        <v>89894717.41529</v>
      </c>
      <c r="DF12" s="10">
        <v>52703561.7227</v>
      </c>
      <c r="DG12" s="10">
        <v>63838272.4944</v>
      </c>
      <c r="DH12" s="10">
        <v>54616768.10919</v>
      </c>
      <c r="DI12" s="10">
        <v>55608790.73148</v>
      </c>
      <c r="DJ12" s="10">
        <f>+DJ13+DJ14+DJ15+DJ18+DJ19+DJ20</f>
        <v>62409540.36544</v>
      </c>
      <c r="DK12" s="10">
        <v>56765694.09876</v>
      </c>
      <c r="DL12" s="10">
        <v>56834219.14249</v>
      </c>
      <c r="DM12" s="10">
        <v>60175975.39242</v>
      </c>
      <c r="DN12" s="10">
        <v>52416202.15958</v>
      </c>
      <c r="DO12" s="10">
        <v>55545458.84396</v>
      </c>
      <c r="DP12" s="10">
        <v>64278749.65113</v>
      </c>
      <c r="DQ12" s="10">
        <v>95120959.14688</v>
      </c>
      <c r="DR12" s="10">
        <v>57956068.91625</v>
      </c>
      <c r="DS12" s="10">
        <v>67417069.54577</v>
      </c>
      <c r="DT12" s="10">
        <v>57320358.04069</v>
      </c>
      <c r="DU12" s="10">
        <v>59322233.8947</v>
      </c>
      <c r="DV12" s="10">
        <v>66811081.58286</v>
      </c>
      <c r="DW12" s="10">
        <v>59653408.08565</v>
      </c>
      <c r="DX12" s="10">
        <v>60186428.79602</v>
      </c>
      <c r="DY12" s="10">
        <v>62868351.52244</v>
      </c>
      <c r="DZ12" s="10">
        <v>56453005.7633</v>
      </c>
      <c r="EA12" s="10">
        <v>58386496.91608</v>
      </c>
      <c r="EB12" s="10">
        <v>64466918.9156099</v>
      </c>
      <c r="EC12" s="10">
        <v>114511525.13934</v>
      </c>
      <c r="ED12" s="10">
        <v>56603362.57987</v>
      </c>
      <c r="EE12" s="10">
        <v>71902554.9951</v>
      </c>
      <c r="EF12" s="10">
        <v>57914528.73942</v>
      </c>
      <c r="EG12" s="10">
        <v>45356924.60478</v>
      </c>
      <c r="EH12" s="10">
        <v>47593654.72933</v>
      </c>
      <c r="EI12" s="10">
        <v>60783634.79606</v>
      </c>
      <c r="EJ12" s="10">
        <v>76636880.31939</v>
      </c>
      <c r="EK12" s="10">
        <v>82986977.46188</v>
      </c>
      <c r="EL12" s="10">
        <v>75607310.63204</v>
      </c>
      <c r="EM12" s="10">
        <v>74885253.78345</v>
      </c>
      <c r="EN12" s="10">
        <v>75912807.89061</v>
      </c>
      <c r="EO12" s="10">
        <v>135559373.52292</v>
      </c>
      <c r="EP12" s="10">
        <v>40456712.14082</v>
      </c>
      <c r="EQ12" s="10">
        <v>74404178.68464</v>
      </c>
      <c r="ER12" s="10">
        <v>66837663.14034</v>
      </c>
      <c r="ES12" s="10">
        <v>67229135.62873</v>
      </c>
      <c r="ET12" s="10">
        <f>+ET13+ET14+ET15+ET18+ET19+ET20</f>
        <v>75314494.57969</v>
      </c>
      <c r="EU12" s="10">
        <f>+EU13+EU14+EU15+EU18+EU19+EU20</f>
        <v>67356924.60812</v>
      </c>
      <c r="EV12" s="10">
        <f>+EV13+EV14+EV15+EV18+EV19+EV20</f>
        <v>75020095.83994</v>
      </c>
      <c r="EW12" s="10">
        <f>+EW13+EW14+EW15+EW18+EW19+EW20</f>
        <v>79938533.55283</v>
      </c>
      <c r="EX12" s="10">
        <f>+EX13+EX14+EX15+EX18+EX19+EX20</f>
        <v>73685176.09608</v>
      </c>
    </row>
    <row ht="12.8" outlineLevel="0" r="13">
      <c r="A13" s="4" t="s">
        <v>310</v>
      </c>
      <c r="B13" s="7">
        <v>10259857.59</v>
      </c>
      <c r="C13" s="7">
        <v>10933670.15</v>
      </c>
      <c r="D13" s="7">
        <v>8220397.13</v>
      </c>
      <c r="E13" s="7">
        <v>9696743.5</v>
      </c>
      <c r="F13" s="7">
        <v>12160392.61</v>
      </c>
      <c r="G13" s="7">
        <v>11851271.7</v>
      </c>
      <c r="H13" s="7">
        <v>4423333.98</v>
      </c>
      <c r="I13" s="7">
        <v>9805432.41</v>
      </c>
      <c r="J13" s="7">
        <v>8127969.82</v>
      </c>
      <c r="K13" s="7">
        <v>9670373.06</v>
      </c>
      <c r="L13" s="7">
        <v>12251541.86</v>
      </c>
      <c r="M13" s="7">
        <v>21649138.08</v>
      </c>
      <c r="N13" s="7">
        <v>9051269.35</v>
      </c>
      <c r="O13" s="7">
        <v>13489165.79</v>
      </c>
      <c r="P13" s="7">
        <v>9402051.58</v>
      </c>
      <c r="Q13" s="7">
        <v>6439086.94</v>
      </c>
      <c r="R13" s="7">
        <v>15054308.46</v>
      </c>
      <c r="S13" s="7">
        <v>10867509.75</v>
      </c>
      <c r="T13" s="7">
        <v>9106235.97</v>
      </c>
      <c r="U13" s="7">
        <v>12036707.4</v>
      </c>
      <c r="V13" s="7">
        <v>9009846.26</v>
      </c>
      <c r="W13" s="7">
        <v>12555479.08</v>
      </c>
      <c r="X13" s="7">
        <v>12621513.37</v>
      </c>
      <c r="Y13" s="7">
        <v>25273163.5</v>
      </c>
      <c r="Z13" s="7">
        <v>14467290.84</v>
      </c>
      <c r="AA13" s="7">
        <v>16496022.89</v>
      </c>
      <c r="AB13" s="7">
        <v>4220375.38</v>
      </c>
      <c r="AC13" s="7">
        <v>13598522.26</v>
      </c>
      <c r="AD13" s="7">
        <v>16314607.36</v>
      </c>
      <c r="AE13" s="7">
        <v>13136005.45</v>
      </c>
      <c r="AF13" s="7">
        <v>12652066.89</v>
      </c>
      <c r="AG13" s="7">
        <v>14219588.04</v>
      </c>
      <c r="AH13" s="11">
        <v>10267297.94</v>
      </c>
      <c r="AI13" s="11">
        <v>14612333.15</v>
      </c>
      <c r="AJ13" s="11">
        <v>16004983.55</v>
      </c>
      <c r="AK13" s="11">
        <v>26786915.15</v>
      </c>
      <c r="AL13" s="11">
        <v>12771760.98</v>
      </c>
      <c r="AM13" s="11">
        <v>16101203.06</v>
      </c>
      <c r="AN13" s="11">
        <v>12376807.85</v>
      </c>
      <c r="AO13" s="11">
        <v>15052398.23</v>
      </c>
      <c r="AP13" s="11">
        <v>17267749.08</v>
      </c>
      <c r="AQ13" s="11">
        <v>13467400.34</v>
      </c>
      <c r="AR13" s="11">
        <v>11590889.25</v>
      </c>
      <c r="AS13" s="11">
        <v>14355825.83</v>
      </c>
      <c r="AT13" s="11">
        <v>10863059.69</v>
      </c>
      <c r="AU13" s="11">
        <v>12261180.39</v>
      </c>
      <c r="AV13" s="11">
        <v>18342169.71</v>
      </c>
      <c r="AW13" s="11">
        <v>29963573.47</v>
      </c>
      <c r="AX13" s="11">
        <v>14381978.31</v>
      </c>
      <c r="AY13" s="11">
        <v>22031895.64</v>
      </c>
      <c r="AZ13" s="11">
        <v>12396110.26</v>
      </c>
      <c r="BA13" s="11">
        <v>9408536.64</v>
      </c>
      <c r="BB13" s="11">
        <v>18392695.27</v>
      </c>
      <c r="BC13" s="11">
        <v>15045493.77</v>
      </c>
      <c r="BD13" s="11">
        <v>11489150.59</v>
      </c>
      <c r="BE13" s="11">
        <v>16162465.16</v>
      </c>
      <c r="BF13" s="11">
        <v>12532310.95</v>
      </c>
      <c r="BG13" s="11">
        <v>12929306.65</v>
      </c>
      <c r="BH13" s="11">
        <v>17656680.27</v>
      </c>
      <c r="BI13" s="11">
        <v>39849166.81</v>
      </c>
      <c r="BJ13" s="11">
        <v>9175461.06</v>
      </c>
      <c r="BK13" s="11">
        <v>22505459.17</v>
      </c>
      <c r="BL13" s="11">
        <v>13245585.85</v>
      </c>
      <c r="BM13" s="12">
        <v>15504802.14</v>
      </c>
      <c r="BN13" s="12">
        <v>20080901.22</v>
      </c>
      <c r="BO13" s="12">
        <v>14830999.14</v>
      </c>
      <c r="BP13" s="12">
        <v>13131766.65</v>
      </c>
      <c r="BQ13" s="12">
        <v>17368552.38</v>
      </c>
      <c r="BR13" s="12">
        <v>13905532.55</v>
      </c>
      <c r="BS13" s="12">
        <v>14595128.34</v>
      </c>
      <c r="BT13" s="12">
        <v>18710193.58</v>
      </c>
      <c r="BU13" s="12">
        <v>44226670.34</v>
      </c>
      <c r="BV13" s="12">
        <v>10721432.75624</v>
      </c>
      <c r="BW13" s="12">
        <v>21615116.40221</v>
      </c>
      <c r="BX13" s="12">
        <v>14927244.86185</v>
      </c>
      <c r="BY13" s="12">
        <v>17799661.74879</v>
      </c>
      <c r="BZ13" s="12">
        <v>19906910.14341</v>
      </c>
      <c r="CA13" s="12">
        <v>17011381.14912</v>
      </c>
      <c r="CB13" s="5">
        <v>14709646.1548</v>
      </c>
      <c r="CC13" s="5">
        <v>16602395.30763</v>
      </c>
      <c r="CD13" s="5">
        <v>13114830.61628</v>
      </c>
      <c r="CE13" s="5">
        <v>16129843.48629</v>
      </c>
      <c r="CF13" s="13">
        <v>17766121.92347</v>
      </c>
      <c r="CG13" s="13">
        <v>33666382.52715</v>
      </c>
      <c r="CH13" s="13">
        <v>10463106.54744</v>
      </c>
      <c r="CI13" s="5">
        <v>22342411.10046</v>
      </c>
      <c r="CJ13" s="5">
        <v>13865431.10104</v>
      </c>
      <c r="CK13" s="5">
        <v>16744292.1734</v>
      </c>
      <c r="CL13" s="7">
        <v>22002198.99385</v>
      </c>
      <c r="CM13" s="7">
        <v>17539886.58231</v>
      </c>
      <c r="CN13" s="7">
        <v>16488280.69252</v>
      </c>
      <c r="CO13" s="7">
        <v>14920743.81001</v>
      </c>
      <c r="CP13" s="7">
        <v>15152880.20783</v>
      </c>
      <c r="CQ13" s="7">
        <v>16213131.13014</v>
      </c>
      <c r="CR13" s="7">
        <v>26050807.62571</v>
      </c>
      <c r="CS13" s="7">
        <v>47547337.7092</v>
      </c>
      <c r="CT13" s="7">
        <v>13124266.66854</v>
      </c>
      <c r="CU13" s="7">
        <v>25390876.69987</v>
      </c>
      <c r="CV13" s="7">
        <v>15804829.32341</v>
      </c>
      <c r="CW13" s="7">
        <v>18365201.65398</v>
      </c>
      <c r="CX13" s="7">
        <v>22128989.50825</v>
      </c>
      <c r="CY13" s="7">
        <v>18512407.87655</v>
      </c>
      <c r="CZ13" s="7">
        <v>19845986.13204</v>
      </c>
      <c r="DA13" s="7">
        <v>18727486.67732</v>
      </c>
      <c r="DB13" s="7">
        <v>14182337.35587</v>
      </c>
      <c r="DC13" s="7">
        <v>17931110.57831</v>
      </c>
      <c r="DD13" s="7">
        <v>18589431.12081</v>
      </c>
      <c r="DE13" s="7">
        <v>37053521.45274</v>
      </c>
      <c r="DF13" s="7">
        <v>14664001.58801</v>
      </c>
      <c r="DG13" s="7">
        <v>28224195.65842</v>
      </c>
      <c r="DH13" s="7">
        <v>19667917.25167</v>
      </c>
      <c r="DI13" s="7">
        <v>19122750.80875</v>
      </c>
      <c r="DJ13" s="7">
        <v>25848219.54539</v>
      </c>
      <c r="DK13" s="7">
        <v>21042694.7614</v>
      </c>
      <c r="DL13" s="7">
        <v>20388440.64963</v>
      </c>
      <c r="DM13" s="7">
        <v>22761646.92759</v>
      </c>
      <c r="DN13" s="7">
        <v>15485056.25988</v>
      </c>
      <c r="DO13" s="7">
        <v>17592474.83012</v>
      </c>
      <c r="DP13" s="7">
        <v>25202667.70497</v>
      </c>
      <c r="DQ13" s="7">
        <v>36521216.44235</v>
      </c>
      <c r="DR13" s="7">
        <v>18331529.88875</v>
      </c>
      <c r="DS13" s="7">
        <v>29123046.86532</v>
      </c>
      <c r="DT13" s="7">
        <v>19774354.11904</v>
      </c>
      <c r="DU13" s="7">
        <v>20922251.68854</v>
      </c>
      <c r="DV13" s="7">
        <v>28004785.56733</v>
      </c>
      <c r="DW13" s="7">
        <v>20275360.68245</v>
      </c>
      <c r="DX13" s="7">
        <v>22162044.78022</v>
      </c>
      <c r="DY13" s="7">
        <v>23370552.17009</v>
      </c>
      <c r="DZ13" s="7">
        <v>17895460.91471</v>
      </c>
      <c r="EA13" s="7">
        <v>18477560.5448</v>
      </c>
      <c r="EB13" s="7">
        <v>24763682.0322</v>
      </c>
      <c r="EC13" s="7">
        <v>55159270.85358</v>
      </c>
      <c r="ED13" s="7">
        <v>14897087.15938</v>
      </c>
      <c r="EE13" s="7">
        <v>33102638.73355</v>
      </c>
      <c r="EF13" s="7">
        <v>19611879.5422</v>
      </c>
      <c r="EG13" s="7">
        <v>19987457.38461</v>
      </c>
      <c r="EH13" s="7">
        <v>23291891.59654</v>
      </c>
      <c r="EI13" s="7">
        <v>35442270.01629</v>
      </c>
      <c r="EJ13" s="7">
        <v>39343430.60902</v>
      </c>
      <c r="EK13" s="7">
        <v>34611967.05002</v>
      </c>
      <c r="EL13" s="7">
        <v>34971766.94957</v>
      </c>
      <c r="EM13" s="7">
        <v>24362644.62967</v>
      </c>
      <c r="EN13" s="7">
        <v>26957625.45798</v>
      </c>
      <c r="EO13" s="7">
        <v>71825676.61701</v>
      </c>
      <c r="EP13" s="7">
        <v>-2160620.05369</v>
      </c>
      <c r="EQ13" s="7">
        <v>31434654.30974</v>
      </c>
      <c r="ER13" s="7">
        <v>24245327.4932</v>
      </c>
      <c r="ES13" s="7">
        <v>25766609.07078</v>
      </c>
      <c r="ET13" s="7">
        <v>34614547.40894</v>
      </c>
      <c r="EU13" s="7">
        <v>26400316.29463</v>
      </c>
      <c r="EV13" s="7">
        <v>29506207.53135</v>
      </c>
      <c r="EW13" s="7">
        <v>33828248.65453</v>
      </c>
      <c r="EX13" s="7">
        <v>25556626.67364</v>
      </c>
    </row>
    <row ht="12.8" outlineLevel="0" r="14">
      <c r="A14" s="4" t="s">
        <v>311</v>
      </c>
      <c r="B14" s="7">
        <v>12593666.86</v>
      </c>
      <c r="C14" s="7">
        <v>12622876.19</v>
      </c>
      <c r="D14" s="7">
        <v>12347626.29</v>
      </c>
      <c r="E14" s="7">
        <v>13239321.69</v>
      </c>
      <c r="F14" s="7">
        <v>13315619.64</v>
      </c>
      <c r="G14" s="7">
        <v>13032177.47</v>
      </c>
      <c r="H14" s="7">
        <v>13263416.3</v>
      </c>
      <c r="I14" s="7">
        <v>13157677.21</v>
      </c>
      <c r="J14" s="7">
        <v>12968424.09</v>
      </c>
      <c r="K14" s="7">
        <v>13712559.42</v>
      </c>
      <c r="L14" s="7">
        <v>15176953.19</v>
      </c>
      <c r="M14" s="7">
        <v>23455181.07</v>
      </c>
      <c r="N14" s="7">
        <v>13759916.35</v>
      </c>
      <c r="O14" s="7">
        <v>14234080.15</v>
      </c>
      <c r="P14" s="7">
        <v>14831551.55</v>
      </c>
      <c r="Q14" s="7">
        <v>14667403</v>
      </c>
      <c r="R14" s="7">
        <v>15543423.72</v>
      </c>
      <c r="S14" s="7">
        <v>15133647.41</v>
      </c>
      <c r="T14" s="7">
        <v>15357062.34</v>
      </c>
      <c r="U14" s="7">
        <v>15796190.75</v>
      </c>
      <c r="V14" s="7">
        <v>15642386.24</v>
      </c>
      <c r="W14" s="7">
        <v>15928075.1</v>
      </c>
      <c r="X14" s="7">
        <v>16323815.07</v>
      </c>
      <c r="Y14" s="7">
        <v>27331332.38</v>
      </c>
      <c r="Z14" s="7">
        <v>18515799.6</v>
      </c>
      <c r="AA14" s="7">
        <v>17019857.62</v>
      </c>
      <c r="AB14" s="7">
        <v>17927889.3</v>
      </c>
      <c r="AC14" s="7">
        <v>19483834.93</v>
      </c>
      <c r="AD14" s="7">
        <v>18853348.96</v>
      </c>
      <c r="AE14" s="7">
        <v>19329791.66</v>
      </c>
      <c r="AF14" s="7">
        <v>18659502.96</v>
      </c>
      <c r="AG14" s="7">
        <v>20436478.78</v>
      </c>
      <c r="AH14" s="11">
        <v>20834022.84</v>
      </c>
      <c r="AI14" s="11">
        <v>20643615.66</v>
      </c>
      <c r="AJ14" s="11">
        <v>19154327.89</v>
      </c>
      <c r="AK14" s="11">
        <v>34369521.83</v>
      </c>
      <c r="AL14" s="11">
        <v>21774364.26</v>
      </c>
      <c r="AM14" s="11">
        <v>18978068.73</v>
      </c>
      <c r="AN14" s="11">
        <v>22197333.13</v>
      </c>
      <c r="AO14" s="11">
        <v>21687611.57</v>
      </c>
      <c r="AP14" s="11">
        <v>21742029.57</v>
      </c>
      <c r="AQ14" s="11">
        <v>21625235.99</v>
      </c>
      <c r="AR14" s="11">
        <v>22206129.77</v>
      </c>
      <c r="AS14" s="11">
        <v>22481356.77</v>
      </c>
      <c r="AT14" s="11">
        <v>21615579.19</v>
      </c>
      <c r="AU14" s="11">
        <v>22291261.22</v>
      </c>
      <c r="AV14" s="11">
        <v>22423724.25</v>
      </c>
      <c r="AW14" s="11">
        <v>35065788.39</v>
      </c>
      <c r="AX14" s="11">
        <v>23241930.15</v>
      </c>
      <c r="AY14" s="11">
        <v>22230234.77</v>
      </c>
      <c r="AZ14" s="11">
        <v>22618865.93</v>
      </c>
      <c r="BA14" s="11">
        <v>23300131.97</v>
      </c>
      <c r="BB14" s="11">
        <v>23641973.32</v>
      </c>
      <c r="BC14" s="11">
        <v>23125984.68</v>
      </c>
      <c r="BD14" s="11">
        <v>23769570.38</v>
      </c>
      <c r="BE14" s="11">
        <v>23971955.7</v>
      </c>
      <c r="BF14" s="11">
        <v>23971311.06</v>
      </c>
      <c r="BG14" s="11">
        <v>24543765.69</v>
      </c>
      <c r="BH14" s="11">
        <v>24701909.12</v>
      </c>
      <c r="BI14" s="11">
        <v>38626113.71</v>
      </c>
      <c r="BJ14" s="11">
        <v>25752863.71</v>
      </c>
      <c r="BK14" s="11">
        <v>24369649.28</v>
      </c>
      <c r="BL14" s="11">
        <v>24046828.67</v>
      </c>
      <c r="BM14" s="12">
        <v>24592515.46</v>
      </c>
      <c r="BN14" s="12">
        <v>25190289.12</v>
      </c>
      <c r="BO14" s="12">
        <v>25125931.73</v>
      </c>
      <c r="BP14" s="12">
        <v>25257070.02</v>
      </c>
      <c r="BQ14" s="12">
        <v>26237319.65</v>
      </c>
      <c r="BR14" s="12">
        <v>25817475.48</v>
      </c>
      <c r="BS14" s="12">
        <v>26018113.45</v>
      </c>
      <c r="BT14" s="12">
        <v>26992806.77</v>
      </c>
      <c r="BU14" s="12">
        <v>39835327.85</v>
      </c>
      <c r="BV14" s="12">
        <v>26309024.50072</v>
      </c>
      <c r="BW14" s="12">
        <v>25407926.96154</v>
      </c>
      <c r="BX14" s="12">
        <v>25463995.8443</v>
      </c>
      <c r="BY14" s="12">
        <v>26255660.31498</v>
      </c>
      <c r="BZ14" s="12">
        <v>26192381.1067</v>
      </c>
      <c r="CA14" s="12">
        <v>25648936.28672</v>
      </c>
      <c r="CB14" s="5">
        <v>26206502.94245</v>
      </c>
      <c r="CC14" s="5">
        <v>25869208.57687</v>
      </c>
      <c r="CD14" s="5">
        <v>25706086.57188</v>
      </c>
      <c r="CE14" s="5">
        <v>26298971.92193</v>
      </c>
      <c r="CF14" s="13">
        <v>25902104.37857</v>
      </c>
      <c r="CG14" s="13">
        <v>40420859.2904301</v>
      </c>
      <c r="CH14" s="13">
        <v>27265291.84714</v>
      </c>
      <c r="CI14" s="5">
        <v>26195473.93427</v>
      </c>
      <c r="CJ14" s="5">
        <v>26767063.79695</v>
      </c>
      <c r="CK14" s="5">
        <v>27354084.01648</v>
      </c>
      <c r="CL14" s="7">
        <v>27310148.30235</v>
      </c>
      <c r="CM14" s="7">
        <v>27688289.7776</v>
      </c>
      <c r="CN14" s="7">
        <v>26425017.89088</v>
      </c>
      <c r="CO14" s="7">
        <v>27586136.46236</v>
      </c>
      <c r="CP14" s="7">
        <v>26849395.12522</v>
      </c>
      <c r="CQ14" s="7">
        <v>27344111.63555</v>
      </c>
      <c r="CR14" s="7">
        <v>27598718.62599</v>
      </c>
      <c r="CS14" s="7">
        <v>43474563.17341</v>
      </c>
      <c r="CT14" s="7">
        <v>28022593.33915</v>
      </c>
      <c r="CU14" s="7">
        <v>27498168.00064</v>
      </c>
      <c r="CV14" s="7">
        <v>27907138.72602</v>
      </c>
      <c r="CW14" s="7">
        <v>28372723.25691</v>
      </c>
      <c r="CX14" s="7">
        <v>28410804.16181</v>
      </c>
      <c r="CY14" s="7">
        <v>28631940.35964</v>
      </c>
      <c r="CZ14" s="7">
        <v>28569132.45989</v>
      </c>
      <c r="DA14" s="7">
        <v>29328641.95603</v>
      </c>
      <c r="DB14" s="7">
        <v>29167171.45743</v>
      </c>
      <c r="DC14" s="7">
        <v>29283619.39441</v>
      </c>
      <c r="DD14" s="7">
        <v>30021517.93527</v>
      </c>
      <c r="DE14" s="7">
        <v>46008383.00613</v>
      </c>
      <c r="DF14" s="7">
        <v>30335590.27189</v>
      </c>
      <c r="DG14" s="7">
        <v>29136692.33585</v>
      </c>
      <c r="DH14" s="7">
        <v>28641392.51409</v>
      </c>
      <c r="DI14" s="7">
        <v>29643405.37877</v>
      </c>
      <c r="DJ14" s="7">
        <v>29625967.21362</v>
      </c>
      <c r="DK14" s="7">
        <v>29262815.80647</v>
      </c>
      <c r="DL14" s="7">
        <v>29820907.66126</v>
      </c>
      <c r="DM14" s="7">
        <v>30327138.83411</v>
      </c>
      <c r="DN14" s="7">
        <v>30218988.09186</v>
      </c>
      <c r="DO14" s="7">
        <v>30987271.37903</v>
      </c>
      <c r="DP14" s="7">
        <v>31064846.45282</v>
      </c>
      <c r="DQ14" s="7">
        <v>51125366.91716</v>
      </c>
      <c r="DR14" s="7">
        <v>32711098.23804</v>
      </c>
      <c r="DS14" s="7">
        <v>31499778.95802</v>
      </c>
      <c r="DT14" s="7">
        <v>31217357.69772</v>
      </c>
      <c r="DU14" s="7">
        <v>31566669.0289</v>
      </c>
      <c r="DV14" s="7">
        <v>32283008.9978</v>
      </c>
      <c r="DW14" s="7">
        <v>32080578.38848</v>
      </c>
      <c r="DX14" s="7">
        <v>31506424.95403</v>
      </c>
      <c r="DY14" s="7">
        <v>32258648.75095</v>
      </c>
      <c r="DZ14" s="7">
        <v>31920752.23144</v>
      </c>
      <c r="EA14" s="7">
        <v>33250335.04665</v>
      </c>
      <c r="EB14" s="7">
        <v>31842390.0958199</v>
      </c>
      <c r="EC14" s="7">
        <v>52391286.1572</v>
      </c>
      <c r="ED14" s="7">
        <v>33869490.40768</v>
      </c>
      <c r="EE14" s="7">
        <v>32452792.28723</v>
      </c>
      <c r="EF14" s="7">
        <v>31269936.27309</v>
      </c>
      <c r="EG14" s="7">
        <v>20682577.54538</v>
      </c>
      <c r="EH14" s="7">
        <v>20346131.75805</v>
      </c>
      <c r="EI14" s="7">
        <v>21216119.04498</v>
      </c>
      <c r="EJ14" s="7">
        <v>30037487.13112</v>
      </c>
      <c r="EK14" s="7">
        <v>38808490.25559</v>
      </c>
      <c r="EL14" s="7">
        <v>32618077.39819</v>
      </c>
      <c r="EM14" s="7">
        <v>40848724.32446</v>
      </c>
      <c r="EN14" s="7">
        <v>38963816.20644</v>
      </c>
      <c r="EO14" s="7">
        <v>54938659.46893</v>
      </c>
      <c r="EP14" s="7">
        <v>33867886.39466</v>
      </c>
      <c r="EQ14" s="7">
        <v>34709602.58766</v>
      </c>
      <c r="ER14" s="7">
        <v>34380919.63781</v>
      </c>
      <c r="ES14" s="7">
        <v>33593166.12031</v>
      </c>
      <c r="ET14" s="7">
        <v>33172243.75807</v>
      </c>
      <c r="EU14" s="7">
        <v>33361681.41312</v>
      </c>
      <c r="EV14" s="7">
        <v>37074676.91822</v>
      </c>
      <c r="EW14" s="7">
        <v>37356409.64009</v>
      </c>
      <c r="EX14" s="7">
        <v>38907251.42035</v>
      </c>
    </row>
    <row ht="12.8" outlineLevel="0" r="15">
      <c r="A15" s="4" t="s">
        <v>312</v>
      </c>
      <c r="B15" s="7">
        <v>549343.73</v>
      </c>
      <c r="C15" s="7">
        <v>465541.53</v>
      </c>
      <c r="D15" s="7">
        <v>624424.21</v>
      </c>
      <c r="E15" s="7">
        <v>550728.53</v>
      </c>
      <c r="F15" s="7">
        <v>551287.85</v>
      </c>
      <c r="G15" s="7">
        <v>545304.43</v>
      </c>
      <c r="H15" s="7">
        <v>598895.94</v>
      </c>
      <c r="I15" s="7">
        <v>593846.66</v>
      </c>
      <c r="J15" s="7">
        <v>592721.18</v>
      </c>
      <c r="K15" s="7">
        <v>602554.28</v>
      </c>
      <c r="L15" s="7">
        <v>1060988.23</v>
      </c>
      <c r="M15" s="7">
        <v>823839.2</v>
      </c>
      <c r="N15" s="7">
        <v>635483.12</v>
      </c>
      <c r="O15" s="7">
        <v>614013.25</v>
      </c>
      <c r="P15" s="7">
        <v>613042.23</v>
      </c>
      <c r="Q15" s="7">
        <v>623805.08</v>
      </c>
      <c r="R15" s="7">
        <v>641506.94</v>
      </c>
      <c r="S15" s="7">
        <v>617501.33</v>
      </c>
      <c r="T15" s="7">
        <v>671738.44</v>
      </c>
      <c r="U15" s="7">
        <v>666501.02</v>
      </c>
      <c r="V15" s="7">
        <v>693399.75</v>
      </c>
      <c r="W15" s="7">
        <v>680986.11</v>
      </c>
      <c r="X15" s="7">
        <v>1182189.77</v>
      </c>
      <c r="Y15" s="7">
        <v>933454.87</v>
      </c>
      <c r="Z15" s="7">
        <v>684930.1</v>
      </c>
      <c r="AA15" s="7">
        <v>696022.63</v>
      </c>
      <c r="AB15" s="7">
        <v>702220.51</v>
      </c>
      <c r="AC15" s="7">
        <v>691990.42</v>
      </c>
      <c r="AD15" s="7">
        <v>699636.26</v>
      </c>
      <c r="AE15" s="7">
        <v>719062.71</v>
      </c>
      <c r="AF15" s="7">
        <v>716374.28</v>
      </c>
      <c r="AG15" s="7">
        <v>713780.49</v>
      </c>
      <c r="AH15" s="11">
        <v>747613.27</v>
      </c>
      <c r="AI15" s="11">
        <v>712596.66</v>
      </c>
      <c r="AJ15" s="11">
        <v>1259373.73</v>
      </c>
      <c r="AK15" s="11">
        <v>948347.51</v>
      </c>
      <c r="AL15" s="11">
        <v>733389.11</v>
      </c>
      <c r="AM15" s="11">
        <v>689623.07</v>
      </c>
      <c r="AN15" s="11">
        <v>741785.29</v>
      </c>
      <c r="AO15" s="11">
        <v>702226.43</v>
      </c>
      <c r="AP15" s="11">
        <v>778263.47</v>
      </c>
      <c r="AQ15" s="11">
        <v>729392.47</v>
      </c>
      <c r="AR15" s="11">
        <v>723895.83</v>
      </c>
      <c r="AS15" s="11">
        <v>719678.73</v>
      </c>
      <c r="AT15" s="11">
        <v>724229.7</v>
      </c>
      <c r="AU15" s="11">
        <v>730278.53</v>
      </c>
      <c r="AV15" s="11">
        <v>1366795.34</v>
      </c>
      <c r="AW15" s="11">
        <v>850352.62</v>
      </c>
      <c r="AX15" s="11">
        <v>688378.14</v>
      </c>
      <c r="AY15" s="11">
        <v>768901.57</v>
      </c>
      <c r="AZ15" s="11">
        <v>737033.7</v>
      </c>
      <c r="BA15" s="11">
        <v>792150.85</v>
      </c>
      <c r="BB15" s="11">
        <v>910608.95</v>
      </c>
      <c r="BC15" s="11">
        <v>811695.39</v>
      </c>
      <c r="BD15" s="11">
        <v>781154.3</v>
      </c>
      <c r="BE15" s="11">
        <v>778632.13</v>
      </c>
      <c r="BF15" s="11">
        <v>794023.49</v>
      </c>
      <c r="BG15" s="11">
        <v>777994.98</v>
      </c>
      <c r="BH15" s="11">
        <v>1449909.59</v>
      </c>
      <c r="BI15" s="11">
        <v>879555.7</v>
      </c>
      <c r="BJ15" s="11">
        <v>879568.69</v>
      </c>
      <c r="BK15" s="11">
        <v>812715.41</v>
      </c>
      <c r="BL15" s="11">
        <v>830395.25</v>
      </c>
      <c r="BM15" s="12">
        <v>812231.62</v>
      </c>
      <c r="BN15" s="12">
        <v>848350.1</v>
      </c>
      <c r="BO15" s="12">
        <v>829353.1</v>
      </c>
      <c r="BP15" s="12">
        <v>843631.37</v>
      </c>
      <c r="BQ15" s="12">
        <v>830585.81</v>
      </c>
      <c r="BR15" s="12">
        <v>840097.64</v>
      </c>
      <c r="BS15" s="12">
        <v>840079.69</v>
      </c>
      <c r="BT15" s="12">
        <v>1604024.99</v>
      </c>
      <c r="BU15" s="12">
        <v>944467.55</v>
      </c>
      <c r="BV15" s="12">
        <v>953823.3591</v>
      </c>
      <c r="BW15" s="12">
        <v>881022.90463</v>
      </c>
      <c r="BX15" s="12">
        <v>918054.92513</v>
      </c>
      <c r="BY15" s="12">
        <v>897904.28668</v>
      </c>
      <c r="BZ15" s="12">
        <v>890444.62407</v>
      </c>
      <c r="CA15" s="12">
        <v>916069.45029</v>
      </c>
      <c r="CB15" s="5">
        <v>905490.49298</v>
      </c>
      <c r="CC15" s="5">
        <v>905511.251309999</v>
      </c>
      <c r="CD15" s="5">
        <v>900847.017690001</v>
      </c>
      <c r="CE15" s="5">
        <v>902935.048999999</v>
      </c>
      <c r="CF15" s="13">
        <v>1629132.90589</v>
      </c>
      <c r="CG15" s="13">
        <v>1224898.28855</v>
      </c>
      <c r="CH15" s="13">
        <v>890293.23924</v>
      </c>
      <c r="CI15" s="5">
        <v>896492.95898</v>
      </c>
      <c r="CJ15" s="5">
        <v>912525.68987</v>
      </c>
      <c r="CK15" s="5">
        <v>906079.42712</v>
      </c>
      <c r="CL15" s="7">
        <v>935787.25388</v>
      </c>
      <c r="CM15" s="7">
        <v>897980.20488</v>
      </c>
      <c r="CN15" s="7">
        <v>910524.064879999</v>
      </c>
      <c r="CO15" s="7">
        <v>952633.238460001</v>
      </c>
      <c r="CP15" s="7">
        <v>956427.514389999</v>
      </c>
      <c r="CQ15" s="7">
        <v>961232.57839</v>
      </c>
      <c r="CR15" s="7">
        <v>1880174.75272</v>
      </c>
      <c r="CS15" s="7">
        <v>1325297.14456</v>
      </c>
      <c r="CT15" s="7">
        <v>1032881.11185</v>
      </c>
      <c r="CU15" s="7">
        <v>1013873.4347</v>
      </c>
      <c r="CV15" s="7">
        <v>1033211.03576</v>
      </c>
      <c r="CW15" s="7">
        <v>1033504.76895</v>
      </c>
      <c r="CX15" s="7">
        <v>1019572.94888</v>
      </c>
      <c r="CY15" s="7">
        <v>1203146.39313</v>
      </c>
      <c r="CZ15" s="7">
        <v>1051854.00552</v>
      </c>
      <c r="DA15" s="7">
        <v>1048169.80054</v>
      </c>
      <c r="DB15" s="7">
        <v>1044265.90343</v>
      </c>
      <c r="DC15" s="7">
        <v>1057030.15107</v>
      </c>
      <c r="DD15" s="7">
        <v>1960904.49286</v>
      </c>
      <c r="DE15" s="7">
        <v>1230400.28173</v>
      </c>
      <c r="DF15" s="7">
        <v>1022159.13602</v>
      </c>
      <c r="DG15" s="7">
        <v>1056121.91588</v>
      </c>
      <c r="DH15" s="7">
        <v>1043964.15089</v>
      </c>
      <c r="DI15" s="7">
        <v>1133491.6645</v>
      </c>
      <c r="DJ15" s="7">
        <v>1058344.18654</v>
      </c>
      <c r="DK15" s="7">
        <v>1074331.34253</v>
      </c>
      <c r="DL15" s="7">
        <v>1062153.91059</v>
      </c>
      <c r="DM15" s="7">
        <v>1040596.45441</v>
      </c>
      <c r="DN15" s="7">
        <v>1040332.00721</v>
      </c>
      <c r="DO15" s="7">
        <v>1042360.97565</v>
      </c>
      <c r="DP15" s="7">
        <v>1876713.81979</v>
      </c>
      <c r="DQ15" s="7">
        <v>1285266.05073</v>
      </c>
      <c r="DR15" s="7">
        <v>1048981.70205</v>
      </c>
      <c r="DS15" s="7">
        <v>1084276.74809</v>
      </c>
      <c r="DT15" s="7">
        <v>1061929.43486</v>
      </c>
      <c r="DU15" s="7">
        <v>1134538.61924</v>
      </c>
      <c r="DV15" s="7">
        <v>1114000.76414</v>
      </c>
      <c r="DW15" s="7">
        <v>1071622.46536</v>
      </c>
      <c r="DX15" s="7">
        <v>1035577.13717</v>
      </c>
      <c r="DY15" s="7">
        <v>1076970.89412</v>
      </c>
      <c r="DZ15" s="7">
        <v>1052143.43054</v>
      </c>
      <c r="EA15" s="7">
        <v>1030375.30348</v>
      </c>
      <c r="EB15" s="7">
        <v>2007449.57065</v>
      </c>
      <c r="EC15" s="7">
        <v>1207362.12841</v>
      </c>
      <c r="ED15" s="7">
        <v>1057983.9048</v>
      </c>
      <c r="EE15" s="7">
        <v>1051209.50317</v>
      </c>
      <c r="EF15" s="7">
        <v>1404010.89168</v>
      </c>
      <c r="EG15" s="7">
        <v>1351649.50785</v>
      </c>
      <c r="EH15" s="7">
        <v>1349277.46598</v>
      </c>
      <c r="EI15" s="7">
        <v>1348583.60536</v>
      </c>
      <c r="EJ15" s="7">
        <v>1440050.57753</v>
      </c>
      <c r="EK15" s="7">
        <v>1426402.91232</v>
      </c>
      <c r="EL15" s="7">
        <v>1416600.72626</v>
      </c>
      <c r="EM15" s="7">
        <v>1398157.46934</v>
      </c>
      <c r="EN15" s="7">
        <v>2427937.00868</v>
      </c>
      <c r="EO15" s="7">
        <v>1725086.82836</v>
      </c>
      <c r="EP15" s="7">
        <v>1353743.69093</v>
      </c>
      <c r="EQ15" s="7">
        <v>1368273.7159</v>
      </c>
      <c r="ER15" s="7">
        <v>1366040.08086</v>
      </c>
      <c r="ES15" s="7">
        <v>1364004.70274</v>
      </c>
      <c r="ET15" s="7">
        <v>1357809.43048</v>
      </c>
      <c r="EU15" s="7">
        <v>1358021.62214</v>
      </c>
      <c r="EV15" s="7">
        <v>1453914.01936</v>
      </c>
      <c r="EW15" s="7">
        <v>1420458.4815</v>
      </c>
      <c r="EX15" s="7">
        <v>1398964.52595</v>
      </c>
    </row>
    <row ht="12.8" outlineLevel="0" r="16">
      <c r="A16" s="4" t="s">
        <v>313</v>
      </c>
      <c r="B16" s="7">
        <v>549343.73</v>
      </c>
      <c r="C16" s="7">
        <v>465541.53</v>
      </c>
      <c r="D16" s="7">
        <v>624424.21</v>
      </c>
      <c r="E16" s="7">
        <v>550728.53</v>
      </c>
      <c r="F16" s="7">
        <v>551287.85</v>
      </c>
      <c r="G16" s="7">
        <v>545304.43</v>
      </c>
      <c r="H16" s="7">
        <v>598895.94</v>
      </c>
      <c r="I16" s="7">
        <v>593846.66</v>
      </c>
      <c r="J16" s="7">
        <v>592721.18</v>
      </c>
      <c r="K16" s="7">
        <v>602554.28</v>
      </c>
      <c r="L16" s="7">
        <v>1060988.23</v>
      </c>
      <c r="M16" s="7">
        <v>823839.2</v>
      </c>
      <c r="N16" s="7">
        <v>635483.12</v>
      </c>
      <c r="O16" s="7">
        <v>614013.25</v>
      </c>
      <c r="P16" s="7">
        <v>613042.23</v>
      </c>
      <c r="Q16" s="7">
        <v>623805.08</v>
      </c>
      <c r="R16" s="7">
        <v>641506.94</v>
      </c>
      <c r="S16" s="7">
        <v>617501.33</v>
      </c>
      <c r="T16" s="7">
        <v>671738.44</v>
      </c>
      <c r="U16" s="7">
        <v>666501.02</v>
      </c>
      <c r="V16" s="7">
        <v>693399.75</v>
      </c>
      <c r="W16" s="7">
        <v>680986.11</v>
      </c>
      <c r="X16" s="7">
        <v>1182189.77</v>
      </c>
      <c r="Y16" s="7">
        <v>933454.87</v>
      </c>
      <c r="Z16" s="7">
        <v>684930.1</v>
      </c>
      <c r="AA16" s="7">
        <v>696022.63</v>
      </c>
      <c r="AB16" s="7">
        <v>702220.51</v>
      </c>
      <c r="AC16" s="7">
        <v>691990.42</v>
      </c>
      <c r="AD16" s="7">
        <v>699636.26</v>
      </c>
      <c r="AE16" s="7">
        <v>719062.71</v>
      </c>
      <c r="AF16" s="7">
        <v>716374.28</v>
      </c>
      <c r="AG16" s="7">
        <v>713780.49</v>
      </c>
      <c r="AH16" s="11">
        <v>747613.27</v>
      </c>
      <c r="AI16" s="11">
        <v>712596.66</v>
      </c>
      <c r="AJ16" s="11">
        <v>1259373.73</v>
      </c>
      <c r="AK16" s="11">
        <v>948347.51</v>
      </c>
      <c r="AL16" s="11">
        <v>733389.11</v>
      </c>
      <c r="AM16" s="11">
        <v>689623.07</v>
      </c>
      <c r="AN16" s="11">
        <v>741785</v>
      </c>
      <c r="AO16" s="11">
        <v>702226.43</v>
      </c>
      <c r="AP16" s="11">
        <v>778263.47</v>
      </c>
      <c r="AQ16" s="11">
        <v>729392.47</v>
      </c>
      <c r="AR16" s="11">
        <v>723895.83</v>
      </c>
      <c r="AS16" s="11">
        <v>719678.73</v>
      </c>
      <c r="AT16" s="11">
        <v>724229.7</v>
      </c>
      <c r="AU16" s="11">
        <v>730278.53</v>
      </c>
      <c r="AV16" s="11">
        <v>1366795.34</v>
      </c>
      <c r="AW16" s="11">
        <v>850352.62</v>
      </c>
      <c r="AX16" s="11">
        <v>688378.14</v>
      </c>
      <c r="AY16" s="11">
        <v>768901.57</v>
      </c>
      <c r="AZ16" s="11">
        <v>737033.7</v>
      </c>
      <c r="BA16" s="11">
        <v>792150.85</v>
      </c>
      <c r="BB16" s="11">
        <v>910608.95</v>
      </c>
      <c r="BC16" s="11">
        <v>811695.39</v>
      </c>
      <c r="BD16" s="11">
        <v>781154.3</v>
      </c>
      <c r="BE16" s="11">
        <v>778632.13</v>
      </c>
      <c r="BF16" s="11">
        <v>794023.49</v>
      </c>
      <c r="BG16" s="11">
        <v>777994.98</v>
      </c>
      <c r="BH16" s="11">
        <v>1449909.59</v>
      </c>
      <c r="BI16" s="11">
        <v>879555.7</v>
      </c>
      <c r="BJ16" s="11">
        <v>879568.69</v>
      </c>
      <c r="BK16" s="11">
        <v>812715.41</v>
      </c>
      <c r="BL16" s="11">
        <v>830395.25</v>
      </c>
      <c r="BM16" s="12">
        <v>812231.62</v>
      </c>
      <c r="BN16" s="12">
        <v>848350.1</v>
      </c>
      <c r="BO16" s="12">
        <v>829353.1</v>
      </c>
      <c r="BP16" s="12">
        <v>843631.37</v>
      </c>
      <c r="BQ16" s="12">
        <v>830585.81</v>
      </c>
      <c r="BR16" s="12">
        <v>840097.64</v>
      </c>
      <c r="BS16" s="12">
        <v>840079.69</v>
      </c>
      <c r="BT16" s="12">
        <v>1604024.99</v>
      </c>
      <c r="BU16" s="12">
        <v>944467.55</v>
      </c>
      <c r="BV16" s="12">
        <v>953823.3591</v>
      </c>
      <c r="BW16" s="12">
        <v>881022.90463</v>
      </c>
      <c r="BX16" s="12">
        <v>918054.92513</v>
      </c>
      <c r="BY16" s="12">
        <v>897904.28668</v>
      </c>
      <c r="BZ16" s="12">
        <v>890444.62407</v>
      </c>
      <c r="CA16" s="12">
        <v>916069.45029</v>
      </c>
      <c r="CB16" s="5">
        <v>905490.49298</v>
      </c>
      <c r="CC16" s="5">
        <v>905511.251309999</v>
      </c>
      <c r="CD16" s="5">
        <v>900847.017690001</v>
      </c>
      <c r="CE16" s="5">
        <v>902935.048999999</v>
      </c>
      <c r="CF16" s="13">
        <v>1629132.90589</v>
      </c>
      <c r="CG16" s="13">
        <v>1224898.28855</v>
      </c>
      <c r="CH16" s="13">
        <v>890293.23924</v>
      </c>
      <c r="CI16" s="5">
        <v>896492.95898</v>
      </c>
      <c r="CJ16" s="5">
        <v>912525.68987</v>
      </c>
      <c r="CK16" s="5">
        <v>906079.42712</v>
      </c>
      <c r="CL16" s="7">
        <v>935787.25388</v>
      </c>
      <c r="CM16" s="7">
        <v>897980.20488</v>
      </c>
      <c r="CN16" s="7">
        <v>910524.064879999</v>
      </c>
      <c r="CO16" s="7">
        <v>952633.238460001</v>
      </c>
      <c r="CP16" s="7">
        <v>956427.514389999</v>
      </c>
      <c r="CQ16" s="7">
        <v>961232.57839</v>
      </c>
      <c r="CR16" s="7">
        <v>1880174.75272</v>
      </c>
      <c r="CS16" s="7">
        <v>1325297.14456</v>
      </c>
      <c r="CT16" s="7">
        <v>1032881.11185</v>
      </c>
      <c r="CU16" s="7">
        <v>1013873.4347</v>
      </c>
      <c r="CV16" s="7">
        <v>1033211.03576</v>
      </c>
      <c r="CW16" s="7">
        <v>1033504.76895</v>
      </c>
      <c r="CX16" s="7">
        <v>1019572.94888</v>
      </c>
      <c r="CY16" s="7">
        <v>1203146.39313</v>
      </c>
      <c r="CZ16" s="7">
        <v>1051854.00552</v>
      </c>
      <c r="DA16" s="7">
        <v>1048169.80054</v>
      </c>
      <c r="DB16" s="7">
        <v>1044265.90343</v>
      </c>
      <c r="DC16" s="7">
        <v>1057030.15107</v>
      </c>
      <c r="DD16" s="7">
        <v>1960904.49286</v>
      </c>
      <c r="DE16" s="7">
        <v>1230400.28173</v>
      </c>
      <c r="DF16" s="7">
        <v>1022159.13602</v>
      </c>
      <c r="DG16" s="7">
        <v>1056121.91588</v>
      </c>
      <c r="DH16" s="7">
        <v>1043964.15089</v>
      </c>
      <c r="DI16" s="7">
        <v>1133491.6645</v>
      </c>
      <c r="DJ16" s="7">
        <v>1058344.18654</v>
      </c>
      <c r="DK16" s="7">
        <f>+DK15</f>
        <v>1074331.34253</v>
      </c>
      <c r="DL16" s="7">
        <v>1062153.91059</v>
      </c>
      <c r="DM16" s="7">
        <v>1040596.45441</v>
      </c>
      <c r="DN16" s="7">
        <v>1040332.00721</v>
      </c>
      <c r="DO16" s="7">
        <v>1042360.97565</v>
      </c>
      <c r="DP16" s="7">
        <v>1876713.81979</v>
      </c>
      <c r="DQ16" s="7">
        <v>1285266.05073</v>
      </c>
      <c r="DR16" s="7">
        <v>1048981.70205</v>
      </c>
      <c r="DS16" s="7">
        <v>1084276.74809</v>
      </c>
      <c r="DT16" s="7">
        <v>1061929.43486</v>
      </c>
      <c r="DU16" s="7">
        <v>1134538.61924</v>
      </c>
      <c r="DV16" s="7">
        <v>1114000.76414</v>
      </c>
      <c r="DW16" s="7">
        <v>1071622.46536</v>
      </c>
      <c r="DX16" s="7">
        <v>1035577.13717</v>
      </c>
      <c r="DY16" s="7">
        <v>1076970.89412</v>
      </c>
      <c r="DZ16" s="7">
        <v>1052143.43054</v>
      </c>
      <c r="EA16" s="7">
        <v>1030375.30348</v>
      </c>
      <c r="EB16" s="7">
        <v>2007449.57065</v>
      </c>
      <c r="EC16" s="7">
        <v>1207362.12841</v>
      </c>
      <c r="ED16" s="7">
        <v>1057983.9048</v>
      </c>
      <c r="EE16" s="7">
        <v>1051209.50317</v>
      </c>
      <c r="EF16" s="14">
        <v>1404010.89168</v>
      </c>
      <c r="EG16" s="14">
        <v>1351649.50785</v>
      </c>
      <c r="EH16" s="14">
        <v>1349277.46598</v>
      </c>
      <c r="EI16" s="14">
        <v>1348583.60536</v>
      </c>
      <c r="EJ16" s="14">
        <v>1440050.57753</v>
      </c>
      <c r="EK16" s="14">
        <v>1426402.91232</v>
      </c>
      <c r="EL16" s="14">
        <v>1416600.72626</v>
      </c>
      <c r="EM16" s="14">
        <v>1398157.46934</v>
      </c>
      <c r="EN16" s="14">
        <v>2427937.00868</v>
      </c>
      <c r="EO16" s="14">
        <v>1725086.82836</v>
      </c>
      <c r="EP16" s="14">
        <v>1353743.69093</v>
      </c>
      <c r="EQ16" s="14">
        <v>1368273.7159</v>
      </c>
      <c r="ER16" s="14">
        <v>1366040.08086</v>
      </c>
      <c r="ES16" s="14">
        <v>1364004.70274</v>
      </c>
      <c r="ET16" s="14">
        <f>+ET15</f>
        <v>1357809.43048</v>
      </c>
      <c r="EU16" s="14">
        <f>+EU15</f>
        <v>1358021.62214</v>
      </c>
      <c r="EV16" s="14">
        <f>+EV15</f>
        <v>1453914.01936</v>
      </c>
      <c r="EW16" s="14">
        <f>+EW15</f>
        <v>1420458.4815</v>
      </c>
      <c r="EX16" s="7">
        <v>1398964.52595</v>
      </c>
    </row>
    <row ht="12.8" outlineLevel="0" r="17">
      <c r="A17" s="4" t="s">
        <v>314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11">
        <v>0</v>
      </c>
      <c r="AX17" s="4">
        <v>0</v>
      </c>
      <c r="AY17" s="11">
        <v>0</v>
      </c>
      <c r="AZ17" s="4">
        <v>0</v>
      </c>
      <c r="BA17" s="11">
        <v>0</v>
      </c>
      <c r="BB17" s="4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5">
        <v>0</v>
      </c>
      <c r="CC17" s="5">
        <v>0</v>
      </c>
      <c r="CD17" s="5">
        <v>0</v>
      </c>
      <c r="CE17" s="5">
        <v>0</v>
      </c>
      <c r="CF17" s="13">
        <v>0</v>
      </c>
      <c r="CG17" s="13">
        <v>0</v>
      </c>
      <c r="CH17" s="13">
        <v>0</v>
      </c>
      <c r="CI17" s="5">
        <v>0</v>
      </c>
      <c r="CJ17" s="5">
        <v>0</v>
      </c>
      <c r="CK17" s="5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/>
      <c r="DA17" s="7"/>
      <c r="DB17" s="7"/>
      <c r="DG17" s="4">
        <v>1794.52035</v>
      </c>
      <c r="DI17" s="7"/>
      <c r="DK17" s="7"/>
      <c r="DL17" s="7"/>
      <c r="DM17" s="7"/>
      <c r="DN17" s="7">
        <v>0</v>
      </c>
      <c r="DO17" s="7"/>
      <c r="DP17" s="7"/>
      <c r="DQ17" s="7"/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0</v>
      </c>
      <c r="ED17" s="7">
        <v>0</v>
      </c>
      <c r="EE17" s="7">
        <v>0</v>
      </c>
      <c r="EF17" s="4">
        <v>0</v>
      </c>
      <c r="EG17" s="4">
        <v>0</v>
      </c>
      <c r="EH17" s="4">
        <v>0</v>
      </c>
      <c r="EI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7">
        <v>0</v>
      </c>
    </row>
    <row ht="12.8" outlineLevel="0" r="18">
      <c r="A18" s="4" t="s">
        <v>315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411.12</v>
      </c>
      <c r="H18" s="7">
        <v>31.97</v>
      </c>
      <c r="I18" s="7">
        <v>46.77</v>
      </c>
      <c r="J18" s="7">
        <v>65.54</v>
      </c>
      <c r="K18" s="7">
        <v>7.94</v>
      </c>
      <c r="L18" s="7">
        <v>7.86</v>
      </c>
      <c r="M18" s="7">
        <v>155.02</v>
      </c>
      <c r="N18" s="7">
        <v>4.87</v>
      </c>
      <c r="O18" s="7">
        <v>36.08</v>
      </c>
      <c r="P18" s="7">
        <v>132.43</v>
      </c>
      <c r="Q18" s="7">
        <v>31.72</v>
      </c>
      <c r="R18" s="7">
        <v>69.75</v>
      </c>
      <c r="S18" s="7">
        <v>33.83</v>
      </c>
      <c r="T18" s="7">
        <v>109.62</v>
      </c>
      <c r="U18" s="7">
        <v>106.19</v>
      </c>
      <c r="V18" s="7">
        <v>68.68</v>
      </c>
      <c r="W18" s="7">
        <v>14.4</v>
      </c>
      <c r="X18" s="7">
        <v>58.34</v>
      </c>
      <c r="Y18" s="7">
        <v>58.62</v>
      </c>
      <c r="Z18" s="7">
        <v>415.25</v>
      </c>
      <c r="AA18" s="7">
        <v>20.2</v>
      </c>
      <c r="AB18" s="7">
        <v>83.79</v>
      </c>
      <c r="AC18" s="7">
        <v>60.36</v>
      </c>
      <c r="AD18" s="7">
        <v>141.86</v>
      </c>
      <c r="AE18" s="7">
        <v>25.73</v>
      </c>
      <c r="AF18" s="7">
        <v>18.21</v>
      </c>
      <c r="AG18" s="7">
        <v>396.21</v>
      </c>
      <c r="AH18" s="11">
        <v>257.29</v>
      </c>
      <c r="AI18" s="11">
        <v>148.29</v>
      </c>
      <c r="AJ18" s="11">
        <v>14.92</v>
      </c>
      <c r="AK18" s="11">
        <v>62.04</v>
      </c>
      <c r="AL18" s="11">
        <v>191.39</v>
      </c>
      <c r="AM18" s="11">
        <v>1112.34</v>
      </c>
      <c r="AN18" s="11">
        <v>1163.61</v>
      </c>
      <c r="AO18" s="11">
        <v>92.5</v>
      </c>
      <c r="AP18" s="11">
        <v>73.15</v>
      </c>
      <c r="AQ18" s="11">
        <v>16.12</v>
      </c>
      <c r="AR18" s="11">
        <v>349.11</v>
      </c>
      <c r="AS18" s="11">
        <v>662.09</v>
      </c>
      <c r="AT18" s="11">
        <v>298.8</v>
      </c>
      <c r="AU18" s="11">
        <v>7010.25</v>
      </c>
      <c r="AV18" s="11">
        <v>1748.93</v>
      </c>
      <c r="AW18" s="4">
        <v>256.45</v>
      </c>
      <c r="AX18" s="4">
        <v>34.57</v>
      </c>
      <c r="AY18" s="11">
        <v>76.67</v>
      </c>
      <c r="AZ18" s="11">
        <v>721.53</v>
      </c>
      <c r="BA18" s="11">
        <v>599.16</v>
      </c>
      <c r="BB18" s="11">
        <v>485.1</v>
      </c>
      <c r="BC18" s="11">
        <v>572.9</v>
      </c>
      <c r="BD18" s="11">
        <v>109.75</v>
      </c>
      <c r="BE18" s="11">
        <v>270.22</v>
      </c>
      <c r="BF18" s="11">
        <v>89.68</v>
      </c>
      <c r="BG18" s="11">
        <v>511.62</v>
      </c>
      <c r="BH18" s="11">
        <v>90.92</v>
      </c>
      <c r="BI18" s="11">
        <v>281.21</v>
      </c>
      <c r="BJ18" s="11">
        <v>224.77</v>
      </c>
      <c r="BK18" s="11">
        <v>241.85</v>
      </c>
      <c r="BL18" s="11">
        <v>436.9</v>
      </c>
      <c r="BM18" s="12">
        <v>2037.99</v>
      </c>
      <c r="BN18" s="12">
        <v>1168.92</v>
      </c>
      <c r="BO18" s="12">
        <v>76.06</v>
      </c>
      <c r="BP18" s="12">
        <v>200.84</v>
      </c>
      <c r="BQ18" s="12">
        <v>315.59</v>
      </c>
      <c r="BR18" s="12">
        <v>401.32</v>
      </c>
      <c r="BS18" s="12">
        <v>797.79</v>
      </c>
      <c r="BT18" s="12">
        <v>153.76</v>
      </c>
      <c r="BU18" s="12">
        <v>105.56</v>
      </c>
      <c r="BV18" s="12">
        <v>934.61525</v>
      </c>
      <c r="BW18" s="12">
        <v>1000.69011</v>
      </c>
      <c r="BX18" s="12">
        <v>1724.9511</v>
      </c>
      <c r="BY18" s="12">
        <v>1088.23282</v>
      </c>
      <c r="BZ18" s="12">
        <v>1138.84399</v>
      </c>
      <c r="CA18" s="12">
        <v>946.59265</v>
      </c>
      <c r="CB18" s="5">
        <v>1626.03812</v>
      </c>
      <c r="CC18" s="5">
        <v>7598.91479</v>
      </c>
      <c r="CD18" s="5">
        <v>10606.48937</v>
      </c>
      <c r="CE18" s="5">
        <v>4078.486</v>
      </c>
      <c r="CF18" s="13">
        <v>6692.04918</v>
      </c>
      <c r="CG18" s="13">
        <v>4508.51521</v>
      </c>
      <c r="CH18" s="13">
        <v>1330.51529</v>
      </c>
      <c r="CI18" s="5">
        <v>575.29693</v>
      </c>
      <c r="CJ18" s="5">
        <v>2794.62531</v>
      </c>
      <c r="CK18" s="5">
        <v>3388.43945</v>
      </c>
      <c r="CL18" s="7">
        <v>2847.99474</v>
      </c>
      <c r="CM18" s="7">
        <v>9263.69533</v>
      </c>
      <c r="CN18" s="7">
        <v>4132.05135</v>
      </c>
      <c r="CO18" s="7">
        <v>4262.2138</v>
      </c>
      <c r="CP18" s="7">
        <v>6345.37869</v>
      </c>
      <c r="CQ18" s="7">
        <v>1722.64454</v>
      </c>
      <c r="CR18" s="7">
        <v>9920.00684</v>
      </c>
      <c r="CS18" s="7">
        <v>2323.09427</v>
      </c>
      <c r="CT18" s="7">
        <v>1268.43689</v>
      </c>
      <c r="CU18" s="7">
        <v>630.74338</v>
      </c>
      <c r="CV18" s="7">
        <v>38612.10434</v>
      </c>
      <c r="CW18" s="7">
        <v>1457.11499</v>
      </c>
      <c r="CX18" s="7">
        <v>1605.86218</v>
      </c>
      <c r="CY18" s="7">
        <v>1494.99017</v>
      </c>
      <c r="CZ18" s="7">
        <v>1491.16436</v>
      </c>
      <c r="DA18" s="7">
        <v>1336.37145</v>
      </c>
      <c r="DB18" s="7">
        <v>1060.69035</v>
      </c>
      <c r="DC18" s="7">
        <v>1105.55438</v>
      </c>
      <c r="DD18" s="7">
        <v>1095.73902</v>
      </c>
      <c r="DE18" s="7">
        <v>1853.73924</v>
      </c>
      <c r="DF18" s="7">
        <v>3344.89628</v>
      </c>
      <c r="DG18" s="7">
        <v>1794.52035</v>
      </c>
      <c r="DH18" s="7">
        <v>7620.41137</v>
      </c>
      <c r="DI18" s="7">
        <v>2664.70402</v>
      </c>
      <c r="DJ18" s="7">
        <v>2181.48054</v>
      </c>
      <c r="DK18" s="7">
        <v>2225.31089</v>
      </c>
      <c r="DL18" s="7">
        <v>2989.71109</v>
      </c>
      <c r="DM18" s="7">
        <v>6043.51573</v>
      </c>
      <c r="DN18" s="7">
        <v>5103.13802</v>
      </c>
      <c r="DO18" s="7">
        <v>2014.53311</v>
      </c>
      <c r="DP18" s="7">
        <v>2637.10671</v>
      </c>
      <c r="DQ18" s="7">
        <v>13134.40656</v>
      </c>
      <c r="DR18" s="7">
        <v>10630.67056</v>
      </c>
      <c r="DS18" s="7">
        <v>1591.52717</v>
      </c>
      <c r="DT18" s="7">
        <v>1496.93437</v>
      </c>
      <c r="DU18" s="7">
        <v>989.573140000001</v>
      </c>
      <c r="DV18" s="7">
        <v>1401.41417</v>
      </c>
      <c r="DW18" s="7">
        <v>1720.59948</v>
      </c>
      <c r="DX18" s="7">
        <v>2674.52474</v>
      </c>
      <c r="DY18" s="7">
        <v>1380.52784</v>
      </c>
      <c r="DZ18" s="7">
        <v>1890.06976</v>
      </c>
      <c r="EA18" s="7">
        <v>3009.10167</v>
      </c>
      <c r="EB18" s="7">
        <v>550.008400000002</v>
      </c>
      <c r="EC18" s="7">
        <v>1676.34404</v>
      </c>
      <c r="ED18" s="7">
        <v>535.18407</v>
      </c>
      <c r="EE18" s="7">
        <v>569.25051</v>
      </c>
      <c r="EF18" s="7">
        <v>1438.28314</v>
      </c>
      <c r="EG18" s="7">
        <v>531.16424</v>
      </c>
      <c r="EH18" s="7">
        <v>992.45428</v>
      </c>
      <c r="EI18" s="7">
        <v>1634.12557</v>
      </c>
      <c r="EJ18" s="7">
        <v>7773.65422</v>
      </c>
      <c r="EK18" s="7">
        <v>10569.76045</v>
      </c>
      <c r="EL18" s="7">
        <v>3394.49277</v>
      </c>
      <c r="EM18" s="7">
        <v>549.227620000001</v>
      </c>
      <c r="EN18" s="7">
        <v>1509.09694</v>
      </c>
      <c r="EO18" s="7">
        <v>232531.76321</v>
      </c>
      <c r="EP18" s="7">
        <v>1387.53923</v>
      </c>
      <c r="EQ18" s="7">
        <v>3817.34866</v>
      </c>
      <c r="ER18" s="7">
        <v>1585.48836</v>
      </c>
      <c r="ES18" s="7">
        <v>539.34036</v>
      </c>
      <c r="ET18" s="7">
        <v>1647.55859</v>
      </c>
      <c r="EU18" s="7">
        <v>87445.40928</v>
      </c>
      <c r="EV18" s="7">
        <v>4112.81017</v>
      </c>
      <c r="EW18" s="7">
        <v>3636.52409999999</v>
      </c>
      <c r="EX18" s="7">
        <v>753702.50735</v>
      </c>
    </row>
    <row ht="12.8" outlineLevel="0" r="19">
      <c r="A19" s="4" t="s">
        <v>316</v>
      </c>
      <c r="B19" s="7">
        <v>165676.65</v>
      </c>
      <c r="C19" s="7">
        <v>66476.18</v>
      </c>
      <c r="D19" s="7">
        <v>195674.49</v>
      </c>
      <c r="E19" s="7">
        <v>134899.08</v>
      </c>
      <c r="F19" s="7">
        <v>134524.73</v>
      </c>
      <c r="G19" s="7">
        <v>134507.8</v>
      </c>
      <c r="H19" s="7">
        <v>147347.78</v>
      </c>
      <c r="I19" s="7">
        <v>148558.7</v>
      </c>
      <c r="J19" s="7">
        <v>111705.11</v>
      </c>
      <c r="K19" s="7">
        <v>147384.28</v>
      </c>
      <c r="L19" s="7">
        <v>147205.66</v>
      </c>
      <c r="M19" s="7">
        <v>147300.27</v>
      </c>
      <c r="N19" s="7">
        <v>148376.81</v>
      </c>
      <c r="O19" s="7">
        <v>148353.62</v>
      </c>
      <c r="P19" s="7">
        <v>148139.56</v>
      </c>
      <c r="Q19" s="7">
        <v>149263.93</v>
      </c>
      <c r="R19" s="7">
        <v>148897.85</v>
      </c>
      <c r="S19" s="7">
        <v>149038.56</v>
      </c>
      <c r="T19" s="7">
        <v>159239.93</v>
      </c>
      <c r="U19" s="7">
        <v>162796.56</v>
      </c>
      <c r="V19" s="7">
        <v>163350.52</v>
      </c>
      <c r="W19" s="7">
        <v>163285.4</v>
      </c>
      <c r="X19" s="7">
        <v>204784.01</v>
      </c>
      <c r="Y19" s="7">
        <v>123494.21</v>
      </c>
      <c r="Z19" s="7">
        <v>164613.83</v>
      </c>
      <c r="AA19" s="7">
        <v>164995</v>
      </c>
      <c r="AB19" s="7">
        <v>165101.93</v>
      </c>
      <c r="AC19" s="7">
        <v>164981.48</v>
      </c>
      <c r="AD19" s="7">
        <v>164969.34</v>
      </c>
      <c r="AE19" s="7">
        <v>165711.83</v>
      </c>
      <c r="AF19" s="7">
        <v>165392.17</v>
      </c>
      <c r="AG19" s="7">
        <v>165411.43</v>
      </c>
      <c r="AH19" s="11">
        <v>206977.63</v>
      </c>
      <c r="AI19" s="11">
        <v>124312.68</v>
      </c>
      <c r="AJ19" s="11">
        <v>165539.59</v>
      </c>
      <c r="AK19" s="11">
        <v>207434.1</v>
      </c>
      <c r="AL19" s="11">
        <v>166667.38</v>
      </c>
      <c r="AM19" s="11">
        <v>166492.73</v>
      </c>
      <c r="AN19" s="11">
        <v>166684.27</v>
      </c>
      <c r="AO19" s="4">
        <v>166497.78</v>
      </c>
      <c r="AP19" s="4">
        <v>166685.99</v>
      </c>
      <c r="AQ19" s="4">
        <v>166919.04</v>
      </c>
      <c r="AR19" s="4">
        <v>167097.7</v>
      </c>
      <c r="AS19" s="4">
        <v>166811.33</v>
      </c>
      <c r="AT19" s="4">
        <v>166788.21</v>
      </c>
      <c r="AU19" s="4">
        <v>166691.43</v>
      </c>
      <c r="AV19" s="4">
        <v>166529.35</v>
      </c>
      <c r="AW19" s="11">
        <v>167346.2</v>
      </c>
      <c r="AX19" s="11">
        <v>125524.66</v>
      </c>
      <c r="AY19" s="11">
        <v>167336.67</v>
      </c>
      <c r="AZ19" s="11">
        <v>225265.64</v>
      </c>
      <c r="BA19" s="11">
        <v>136854.93</v>
      </c>
      <c r="BB19" s="11">
        <v>229293.87</v>
      </c>
      <c r="BC19" s="11">
        <v>137958.33</v>
      </c>
      <c r="BD19" s="11">
        <v>183329.99</v>
      </c>
      <c r="BE19" s="11">
        <v>183383.05</v>
      </c>
      <c r="BF19" s="11">
        <v>184014.38</v>
      </c>
      <c r="BG19" s="11">
        <v>183773.46</v>
      </c>
      <c r="BH19" s="11">
        <v>183526.23</v>
      </c>
      <c r="BI19" s="11">
        <v>230452.74</v>
      </c>
      <c r="BJ19" s="11">
        <v>137895.02</v>
      </c>
      <c r="BK19" s="11">
        <v>185070.57</v>
      </c>
      <c r="BL19" s="11">
        <v>196539.19</v>
      </c>
      <c r="BM19" s="12">
        <v>202382.8</v>
      </c>
      <c r="BN19" s="12">
        <v>201798.33</v>
      </c>
      <c r="BO19" s="12">
        <v>202318.57</v>
      </c>
      <c r="BP19" s="12">
        <v>253217.68</v>
      </c>
      <c r="BQ19" s="12">
        <v>151368.07</v>
      </c>
      <c r="BR19" s="12">
        <v>204974.29</v>
      </c>
      <c r="BS19" s="12">
        <v>203031.05</v>
      </c>
      <c r="BT19" s="12">
        <v>203046.38</v>
      </c>
      <c r="BU19" s="12">
        <v>201597.67</v>
      </c>
      <c r="BV19" s="12">
        <v>152760.7532</v>
      </c>
      <c r="BW19" s="12">
        <v>204572.6704</v>
      </c>
      <c r="BX19" s="12">
        <v>218697.34374</v>
      </c>
      <c r="BY19" s="12">
        <v>224205.25956</v>
      </c>
      <c r="BZ19" s="12">
        <v>278646.36367</v>
      </c>
      <c r="CA19" s="12">
        <v>224338.83847</v>
      </c>
      <c r="CB19" s="5">
        <v>224822.34257</v>
      </c>
      <c r="CC19" s="5">
        <v>224590.54361</v>
      </c>
      <c r="CD19" s="5">
        <v>224876.2327</v>
      </c>
      <c r="CE19" s="5">
        <v>224723.42577</v>
      </c>
      <c r="CF19" s="13">
        <v>224940.16692</v>
      </c>
      <c r="CG19" s="13">
        <v>222608.64059</v>
      </c>
      <c r="CH19" s="13">
        <v>168957.71574</v>
      </c>
      <c r="CI19" s="5">
        <v>286524.10467</v>
      </c>
      <c r="CJ19" s="5">
        <v>227082.20265</v>
      </c>
      <c r="CK19" s="5">
        <v>227297.27695</v>
      </c>
      <c r="CL19" s="7">
        <v>227110.64245</v>
      </c>
      <c r="CM19" s="7">
        <v>227326.64572</v>
      </c>
      <c r="CN19" s="7">
        <v>227512.09888</v>
      </c>
      <c r="CO19" s="7">
        <v>236595.39971</v>
      </c>
      <c r="CP19" s="7">
        <v>259765.58302</v>
      </c>
      <c r="CQ19" s="7">
        <v>259755.50854</v>
      </c>
      <c r="CR19" s="7">
        <v>260295.77394</v>
      </c>
      <c r="CS19" s="7">
        <v>321290.71604</v>
      </c>
      <c r="CT19" s="7">
        <v>211716.58288</v>
      </c>
      <c r="CU19" s="7">
        <v>275977.31662</v>
      </c>
      <c r="CV19" s="7">
        <v>276147.99473</v>
      </c>
      <c r="CW19" s="7">
        <v>277039.67096</v>
      </c>
      <c r="CX19" s="7">
        <v>278624.12245</v>
      </c>
      <c r="CY19" s="7">
        <v>280504.88626</v>
      </c>
      <c r="CZ19" s="7">
        <v>281497.59623</v>
      </c>
      <c r="DA19" s="7">
        <v>279775.1235</v>
      </c>
      <c r="DB19" s="7">
        <v>281248.93607</v>
      </c>
      <c r="DC19" s="7">
        <v>280282.540210001</v>
      </c>
      <c r="DD19" s="7">
        <v>275490.366579999</v>
      </c>
      <c r="DE19" s="7">
        <v>344457.552050001</v>
      </c>
      <c r="DF19" s="7">
        <v>232471.98797</v>
      </c>
      <c r="DG19" s="7">
        <v>299531.40234</v>
      </c>
      <c r="DH19" s="7">
        <v>298107.96354</v>
      </c>
      <c r="DI19" s="7">
        <v>300967.25736</v>
      </c>
      <c r="DJ19" s="7">
        <v>301216.30797</v>
      </c>
      <c r="DK19" s="7">
        <v>301694.55657</v>
      </c>
      <c r="DL19" s="7">
        <v>302142.84132</v>
      </c>
      <c r="DM19" s="7">
        <v>301742.36648</v>
      </c>
      <c r="DN19" s="7">
        <v>302164.90115</v>
      </c>
      <c r="DO19" s="7">
        <v>302192.25785</v>
      </c>
      <c r="DP19" s="7">
        <v>301617.640749999</v>
      </c>
      <c r="DQ19" s="7">
        <v>391438.13128</v>
      </c>
      <c r="DR19" s="7">
        <v>227542.89565</v>
      </c>
      <c r="DS19" s="7">
        <v>320486.40129</v>
      </c>
      <c r="DT19" s="7">
        <v>320217.0725</v>
      </c>
      <c r="DU19" s="7">
        <v>321043.07833</v>
      </c>
      <c r="DV19" s="7">
        <v>321183.68338</v>
      </c>
      <c r="DW19" s="7">
        <v>320668.79595</v>
      </c>
      <c r="DX19" s="7">
        <v>321366.59703</v>
      </c>
      <c r="DY19" s="7">
        <v>319307.14487</v>
      </c>
      <c r="DZ19" s="7">
        <v>318574.16484</v>
      </c>
      <c r="EA19" s="7">
        <v>318162.11093</v>
      </c>
      <c r="EB19" s="7">
        <v>319550.31058</v>
      </c>
      <c r="EC19" s="7">
        <v>390351.80656</v>
      </c>
      <c r="ED19" s="7">
        <v>260883.83809</v>
      </c>
      <c r="EE19" s="7">
        <v>336773.95453</v>
      </c>
      <c r="EF19" s="7">
        <v>451564.14564</v>
      </c>
      <c r="EG19" s="7">
        <v>598715.02059</v>
      </c>
      <c r="EH19" s="7">
        <v>628418.54447</v>
      </c>
      <c r="EI19" s="7">
        <v>629394.77347</v>
      </c>
      <c r="EJ19" s="7">
        <v>662458.96042</v>
      </c>
      <c r="EK19" s="7">
        <v>660161.95796</v>
      </c>
      <c r="EL19" s="7">
        <v>661640.96778</v>
      </c>
      <c r="EM19" s="7">
        <v>661588.33542</v>
      </c>
      <c r="EN19" s="7">
        <v>663002.62955</v>
      </c>
      <c r="EO19" s="7">
        <v>797175.67542</v>
      </c>
      <c r="EP19" s="7">
        <v>573924.70812</v>
      </c>
      <c r="EQ19" s="7">
        <v>722617.52087</v>
      </c>
      <c r="ER19" s="7">
        <v>727657.7062</v>
      </c>
      <c r="ES19" s="7">
        <v>707438.72081</v>
      </c>
      <c r="ET19" s="7">
        <v>729339.28597</v>
      </c>
      <c r="EU19" s="7">
        <v>727967.90523</v>
      </c>
      <c r="EV19" s="7">
        <v>747008.50134</v>
      </c>
      <c r="EW19" s="7">
        <v>753313.88312</v>
      </c>
      <c r="EX19" s="7">
        <v>7019.59072</v>
      </c>
    </row>
    <row ht="12.8" outlineLevel="0" r="20">
      <c r="A20" s="4" t="s">
        <v>317</v>
      </c>
      <c r="B20" s="7">
        <v>2474993.92</v>
      </c>
      <c r="C20" s="7">
        <v>2062217.74</v>
      </c>
      <c r="D20" s="7">
        <v>2246473.3</v>
      </c>
      <c r="E20" s="7">
        <v>2495594.79</v>
      </c>
      <c r="F20" s="7">
        <v>2515346.61</v>
      </c>
      <c r="G20" s="7">
        <v>2441016.74</v>
      </c>
      <c r="H20" s="7">
        <v>2453090.91</v>
      </c>
      <c r="I20" s="7">
        <v>2496589.4</v>
      </c>
      <c r="J20" s="7">
        <v>2715639.48</v>
      </c>
      <c r="K20" s="7">
        <v>3088189.46</v>
      </c>
      <c r="L20" s="7">
        <v>2973327.61</v>
      </c>
      <c r="M20" s="7">
        <v>3067773.38</v>
      </c>
      <c r="N20" s="7">
        <v>3045900.63</v>
      </c>
      <c r="O20" s="7">
        <v>2587034.29</v>
      </c>
      <c r="P20" s="7">
        <v>2742664.83</v>
      </c>
      <c r="Q20" s="7">
        <v>2988387.52</v>
      </c>
      <c r="R20" s="7">
        <v>2983838.21</v>
      </c>
      <c r="S20" s="7">
        <v>2954299.9</v>
      </c>
      <c r="T20" s="7">
        <v>2969413.56</v>
      </c>
      <c r="U20" s="7">
        <v>2912368.47</v>
      </c>
      <c r="V20" s="7">
        <v>3228464.49</v>
      </c>
      <c r="W20" s="7">
        <v>3305160.42</v>
      </c>
      <c r="X20" s="7">
        <v>3244821.6</v>
      </c>
      <c r="Y20" s="7">
        <v>7409478.16</v>
      </c>
      <c r="Z20" s="7">
        <v>3554891.51</v>
      </c>
      <c r="AA20" s="7">
        <v>3263830.26</v>
      </c>
      <c r="AB20" s="7">
        <v>3320730.39</v>
      </c>
      <c r="AC20" s="7">
        <v>3409870.27</v>
      </c>
      <c r="AD20" s="7">
        <v>3319386.03</v>
      </c>
      <c r="AE20" s="7">
        <v>3515400.87</v>
      </c>
      <c r="AF20" s="7">
        <v>3518154.27</v>
      </c>
      <c r="AG20" s="7">
        <v>3537270.96</v>
      </c>
      <c r="AH20" s="11">
        <v>3476007.08</v>
      </c>
      <c r="AI20" s="11">
        <v>3535695.79</v>
      </c>
      <c r="AJ20" s="11">
        <v>3399987.42</v>
      </c>
      <c r="AK20" s="11">
        <v>3732821.71</v>
      </c>
      <c r="AL20" s="11">
        <v>3951762.28</v>
      </c>
      <c r="AM20" s="11">
        <v>3554756.86</v>
      </c>
      <c r="AN20" s="11">
        <v>3577211.71</v>
      </c>
      <c r="AO20" s="11">
        <v>3620001.4</v>
      </c>
      <c r="AP20" s="11">
        <v>3709382.13</v>
      </c>
      <c r="AQ20" s="11">
        <v>3820916.08</v>
      </c>
      <c r="AR20" s="11">
        <v>5841221.71</v>
      </c>
      <c r="AS20" s="11">
        <v>3865115.08</v>
      </c>
      <c r="AT20" s="11">
        <v>3926828.48</v>
      </c>
      <c r="AU20" s="11">
        <v>3881837.4</v>
      </c>
      <c r="AV20" s="11">
        <v>3909082.22</v>
      </c>
      <c r="AW20" s="4">
        <v>4119273.42</v>
      </c>
      <c r="AX20" s="4">
        <v>4604509.06</v>
      </c>
      <c r="AY20" s="11">
        <v>3641806.81</v>
      </c>
      <c r="AZ20" s="11">
        <v>3922085.94</v>
      </c>
      <c r="BA20" s="11">
        <v>4053484.21</v>
      </c>
      <c r="BB20" s="11">
        <v>4127831.24</v>
      </c>
      <c r="BC20" s="11">
        <v>3976539.58</v>
      </c>
      <c r="BD20" s="11">
        <v>4070144.19</v>
      </c>
      <c r="BE20" s="11">
        <v>4114352.18</v>
      </c>
      <c r="BF20" s="11">
        <v>4162131.75</v>
      </c>
      <c r="BG20" s="11">
        <v>4204869.97</v>
      </c>
      <c r="BH20" s="11">
        <v>4095539.12</v>
      </c>
      <c r="BI20" s="11">
        <v>6214164.2</v>
      </c>
      <c r="BJ20" s="11">
        <v>4741134.75</v>
      </c>
      <c r="BK20" s="11">
        <v>4145643.62</v>
      </c>
      <c r="BL20" s="11">
        <v>4208455.1</v>
      </c>
      <c r="BM20" s="12">
        <v>4153406.35</v>
      </c>
      <c r="BN20" s="12">
        <v>4055781.1</v>
      </c>
      <c r="BO20" s="12">
        <v>4316163.21</v>
      </c>
      <c r="BP20" s="12">
        <v>4020417.29</v>
      </c>
      <c r="BQ20" s="12">
        <v>4146316.6</v>
      </c>
      <c r="BR20" s="12">
        <v>4278542.03</v>
      </c>
      <c r="BS20" s="12">
        <v>4417471.79</v>
      </c>
      <c r="BT20" s="12">
        <v>4685773.76</v>
      </c>
      <c r="BU20" s="12">
        <v>4750683.43</v>
      </c>
      <c r="BV20" s="12">
        <v>4969120.34217</v>
      </c>
      <c r="BW20" s="12">
        <v>4385466.47262</v>
      </c>
      <c r="BX20" s="12">
        <v>4127048.90308</v>
      </c>
      <c r="BY20" s="12">
        <v>4521073.75385</v>
      </c>
      <c r="BZ20" s="12">
        <v>4425920.20314</v>
      </c>
      <c r="CA20" s="12">
        <v>4396001.57736</v>
      </c>
      <c r="CB20" s="5">
        <v>4409425.02028</v>
      </c>
      <c r="CC20" s="5">
        <v>4412370.20977</v>
      </c>
      <c r="CD20" s="5">
        <v>4872406.14075</v>
      </c>
      <c r="CE20" s="5">
        <v>4128277.74103001</v>
      </c>
      <c r="CF20" s="13">
        <v>4647403.18275999</v>
      </c>
      <c r="CG20" s="13">
        <v>4427058.68905</v>
      </c>
      <c r="CH20" s="13">
        <v>5138599.54973</v>
      </c>
      <c r="CI20" s="5">
        <v>4377882.57911</v>
      </c>
      <c r="CJ20" s="5">
        <v>4532705.78673</v>
      </c>
      <c r="CK20" s="5">
        <v>4402931.25158</v>
      </c>
      <c r="CL20" s="7">
        <v>4621077.61561</v>
      </c>
      <c r="CM20" s="7">
        <v>4399581.49631</v>
      </c>
      <c r="CN20" s="7">
        <v>4559421.30278</v>
      </c>
      <c r="CO20" s="7">
        <v>4297870.941</v>
      </c>
      <c r="CP20" s="7">
        <v>4403142.88064</v>
      </c>
      <c r="CQ20" s="7">
        <v>4407061.65346001</v>
      </c>
      <c r="CR20" s="7">
        <v>4324150.65935999</v>
      </c>
      <c r="CS20" s="7">
        <v>4563191.08378</v>
      </c>
      <c r="CT20" s="7">
        <v>5251953.72946</v>
      </c>
      <c r="CU20" s="7">
        <v>4376637.04158</v>
      </c>
      <c r="CV20" s="7">
        <v>4417477.0062</v>
      </c>
      <c r="CW20" s="7">
        <v>4663071.50682</v>
      </c>
      <c r="CX20" s="7">
        <v>4502554.37393</v>
      </c>
      <c r="CY20" s="7">
        <v>4324502.87993999</v>
      </c>
      <c r="CZ20" s="7">
        <v>4392364.49338</v>
      </c>
      <c r="DA20" s="7">
        <v>4839586.5249</v>
      </c>
      <c r="DB20" s="7">
        <v>5019306.73755</v>
      </c>
      <c r="DC20" s="7">
        <v>5057305.54647001</v>
      </c>
      <c r="DD20" s="7">
        <v>10541993.10159</v>
      </c>
      <c r="DE20" s="7">
        <v>5256101.3834</v>
      </c>
      <c r="DF20" s="7">
        <v>6445993.84253</v>
      </c>
      <c r="DG20" s="7">
        <v>5119936.66156</v>
      </c>
      <c r="DH20" s="7">
        <v>4957765.81763</v>
      </c>
      <c r="DI20" s="7">
        <v>5405510.91808</v>
      </c>
      <c r="DJ20" s="7">
        <v>5573611.63138</v>
      </c>
      <c r="DK20" s="7">
        <v>5081932.3209</v>
      </c>
      <c r="DL20" s="7">
        <v>5257584.3686</v>
      </c>
      <c r="DM20" s="7">
        <v>5738807.2941</v>
      </c>
      <c r="DN20" s="7">
        <v>5364557.76146</v>
      </c>
      <c r="DO20" s="7">
        <v>5619144.86820001</v>
      </c>
      <c r="DP20" s="7">
        <v>5830266.92609</v>
      </c>
      <c r="DQ20" s="7">
        <v>5784537.1988</v>
      </c>
      <c r="DR20" s="7">
        <v>5626285.5212</v>
      </c>
      <c r="DS20" s="7">
        <v>5387889.04588</v>
      </c>
      <c r="DT20" s="7">
        <v>4945002.7822</v>
      </c>
      <c r="DU20" s="7">
        <v>5376741.90655</v>
      </c>
      <c r="DV20" s="7">
        <v>5086701.15604</v>
      </c>
      <c r="DW20" s="7">
        <v>5903457.15393</v>
      </c>
      <c r="DX20" s="7">
        <v>5158340.80282999</v>
      </c>
      <c r="DY20" s="7">
        <v>5841492.03457</v>
      </c>
      <c r="DZ20" s="7">
        <v>5264184.95201</v>
      </c>
      <c r="EA20" s="7">
        <v>5307054.80855</v>
      </c>
      <c r="EB20" s="7">
        <v>5533296.89796001</v>
      </c>
      <c r="EC20" s="7">
        <v>5361577.84955</v>
      </c>
      <c r="ED20" s="7">
        <v>6517382.08585</v>
      </c>
      <c r="EE20" s="7">
        <v>4958571.26611</v>
      </c>
      <c r="EF20" s="7">
        <v>5175699.60367</v>
      </c>
      <c r="EG20" s="7">
        <v>2735993.98211</v>
      </c>
      <c r="EH20" s="7">
        <v>1976942.91001</v>
      </c>
      <c r="EI20" s="7">
        <v>2145633.23039</v>
      </c>
      <c r="EJ20" s="7">
        <v>5145679.38708</v>
      </c>
      <c r="EK20" s="7">
        <v>7469385.52554</v>
      </c>
      <c r="EL20" s="7">
        <v>5935830.09747</v>
      </c>
      <c r="EM20" s="7">
        <v>7613589.79694</v>
      </c>
      <c r="EN20" s="7">
        <v>6898917.49102</v>
      </c>
      <c r="EO20" s="7">
        <v>6040243.16999</v>
      </c>
      <c r="EP20" s="7">
        <v>6820389.86157</v>
      </c>
      <c r="EQ20" s="7">
        <v>6165213.20181</v>
      </c>
      <c r="ER20" s="7">
        <v>6116132.73391</v>
      </c>
      <c r="ES20" s="7">
        <v>5797377.67373</v>
      </c>
      <c r="ET20" s="7">
        <v>5438907.13764</v>
      </c>
      <c r="EU20" s="7">
        <v>5421491.96372</v>
      </c>
      <c r="EV20" s="7">
        <v>6234176.0595</v>
      </c>
      <c r="EW20" s="7">
        <v>6576466.36949001</v>
      </c>
      <c r="EX20" s="7">
        <v>7061611.37807</v>
      </c>
    </row>
    <row ht="12.8" outlineLevel="0" r="21">
      <c r="A21" s="4" t="s">
        <v>318</v>
      </c>
      <c r="B21" s="7">
        <v>1983981.53</v>
      </c>
      <c r="C21" s="7">
        <v>1621025.55</v>
      </c>
      <c r="D21" s="7">
        <v>1830447.38</v>
      </c>
      <c r="E21" s="7">
        <v>2080092.48</v>
      </c>
      <c r="F21" s="7">
        <v>2087022.12</v>
      </c>
      <c r="G21" s="7">
        <v>1996464.4</v>
      </c>
      <c r="H21" s="7">
        <v>2020918.79</v>
      </c>
      <c r="I21" s="7">
        <v>2113403.97</v>
      </c>
      <c r="J21" s="7">
        <v>2314423.04</v>
      </c>
      <c r="K21" s="7">
        <v>2692949.64</v>
      </c>
      <c r="L21" s="7">
        <v>2548992.47</v>
      </c>
      <c r="M21" s="7">
        <v>2619963.03</v>
      </c>
      <c r="N21" s="7">
        <v>2550268.61</v>
      </c>
      <c r="O21" s="7">
        <v>2125763.57</v>
      </c>
      <c r="P21" s="7">
        <v>2275018.84</v>
      </c>
      <c r="Q21" s="7">
        <v>2511094.93</v>
      </c>
      <c r="R21" s="7">
        <v>2504620.69</v>
      </c>
      <c r="S21" s="7">
        <v>2465341.2</v>
      </c>
      <c r="T21" s="7">
        <v>2501505.91</v>
      </c>
      <c r="U21" s="7">
        <v>2447935.19</v>
      </c>
      <c r="V21" s="7">
        <v>2715205.92</v>
      </c>
      <c r="W21" s="7">
        <v>2828243.77</v>
      </c>
      <c r="X21" s="7">
        <v>2734052.06</v>
      </c>
      <c r="Y21" s="7">
        <v>2838755.03</v>
      </c>
      <c r="Z21" s="7">
        <v>2958326.52</v>
      </c>
      <c r="AA21" s="7">
        <v>2669647.34</v>
      </c>
      <c r="AB21" s="7">
        <v>2719846.74</v>
      </c>
      <c r="AC21" s="7">
        <v>2807252.38</v>
      </c>
      <c r="AD21" s="7">
        <v>2756009.63</v>
      </c>
      <c r="AE21" s="7">
        <v>2924380.66</v>
      </c>
      <c r="AF21" s="7">
        <v>2954761.96</v>
      </c>
      <c r="AG21" s="7">
        <v>2986943.32</v>
      </c>
      <c r="AH21" s="11">
        <v>2895997.67</v>
      </c>
      <c r="AI21" s="11">
        <v>2999816.75</v>
      </c>
      <c r="AJ21" s="11">
        <v>2865423.32</v>
      </c>
      <c r="AK21" s="11">
        <v>3104931.05</v>
      </c>
      <c r="AL21" s="11">
        <v>3229423.33</v>
      </c>
      <c r="AM21" s="11">
        <v>2854638.16</v>
      </c>
      <c r="AN21" s="11">
        <v>2882684.83</v>
      </c>
      <c r="AO21" s="11">
        <v>2997614.8</v>
      </c>
      <c r="AP21" s="4">
        <v>3055696.66</v>
      </c>
      <c r="AQ21" s="4">
        <v>3106850.39</v>
      </c>
      <c r="AR21" s="4">
        <v>4565149.78</v>
      </c>
      <c r="AS21" s="4">
        <v>3217534.03</v>
      </c>
      <c r="AT21" s="4">
        <v>3254335.3</v>
      </c>
      <c r="AU21" s="4">
        <v>3252473.11</v>
      </c>
      <c r="AV21" s="4">
        <v>3235523.08</v>
      </c>
      <c r="AW21" s="11">
        <v>3399092.12</v>
      </c>
      <c r="AX21" s="11">
        <v>3773174.41</v>
      </c>
      <c r="AY21" s="11">
        <v>2853121.34</v>
      </c>
      <c r="AZ21" s="11">
        <v>3116605.57</v>
      </c>
      <c r="BA21" s="11">
        <v>3388737.56</v>
      </c>
      <c r="BB21" s="11">
        <v>3423142.15</v>
      </c>
      <c r="BC21" s="11">
        <v>3210466.15</v>
      </c>
      <c r="BD21" s="11">
        <v>3349508.51</v>
      </c>
      <c r="BE21" s="11">
        <v>3420980.37</v>
      </c>
      <c r="BF21" s="11">
        <v>3460336.66</v>
      </c>
      <c r="BG21" s="11">
        <v>3490516.04</v>
      </c>
      <c r="BH21" s="11">
        <v>3383999.5</v>
      </c>
      <c r="BI21" s="11">
        <v>5441179.96</v>
      </c>
      <c r="BJ21" s="11">
        <v>3740764.93</v>
      </c>
      <c r="BK21" s="11">
        <v>3224304.74</v>
      </c>
      <c r="BL21" s="11">
        <v>3365936.73</v>
      </c>
      <c r="BM21" s="12">
        <v>3444017.6</v>
      </c>
      <c r="BN21" s="12">
        <v>3274047.35</v>
      </c>
      <c r="BO21" s="12">
        <v>3491605.79</v>
      </c>
      <c r="BP21" s="12">
        <v>3282518.77</v>
      </c>
      <c r="BQ21" s="12">
        <v>3410709.82</v>
      </c>
      <c r="BR21" s="12">
        <v>3497584.51</v>
      </c>
      <c r="BS21" s="12">
        <v>3648234.57</v>
      </c>
      <c r="BT21" s="12">
        <v>3904017.11</v>
      </c>
      <c r="BU21" s="12">
        <v>3940388.66</v>
      </c>
      <c r="BV21" s="12">
        <v>0</v>
      </c>
      <c r="BW21" s="12">
        <v>0</v>
      </c>
      <c r="BX21" s="12">
        <v>0</v>
      </c>
      <c r="BY21" s="12"/>
      <c r="BZ21" s="12">
        <v>0</v>
      </c>
      <c r="CA21" s="12">
        <v>0</v>
      </c>
      <c r="CB21" s="5"/>
      <c r="CJ21" s="5"/>
      <c r="CK21" s="5"/>
      <c r="CL21" s="7"/>
      <c r="CM21" s="5"/>
      <c r="CN21" s="5"/>
      <c r="CO21" s="5"/>
      <c r="CP21" s="5"/>
      <c r="CQ21" s="5"/>
      <c r="CR21" s="5"/>
      <c r="CS21" s="5"/>
      <c r="CT21" s="5"/>
      <c r="CU21" s="5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</row>
    <row ht="12.8" outlineLevel="0" r="22">
      <c r="A22" s="4" t="s">
        <v>319</v>
      </c>
      <c r="B22" s="7">
        <v>491012.39</v>
      </c>
      <c r="C22" s="7">
        <v>441192.19</v>
      </c>
      <c r="D22" s="7">
        <v>416025.92</v>
      </c>
      <c r="E22" s="7">
        <v>415502.31</v>
      </c>
      <c r="F22" s="7">
        <v>428324.49</v>
      </c>
      <c r="G22" s="7">
        <v>444552.34</v>
      </c>
      <c r="H22" s="7">
        <v>432172.12</v>
      </c>
      <c r="I22" s="7">
        <v>383185.43</v>
      </c>
      <c r="J22" s="7">
        <v>401216.44</v>
      </c>
      <c r="K22" s="7">
        <v>395239.82</v>
      </c>
      <c r="L22" s="7">
        <v>424335.14</v>
      </c>
      <c r="M22" s="7">
        <v>447810.35</v>
      </c>
      <c r="N22" s="7">
        <v>495632.02</v>
      </c>
      <c r="O22" s="7">
        <v>461270.72</v>
      </c>
      <c r="P22" s="7">
        <v>467645.99</v>
      </c>
      <c r="Q22" s="7">
        <v>477292.59</v>
      </c>
      <c r="R22" s="7">
        <v>479217.52</v>
      </c>
      <c r="S22" s="7">
        <v>488958.7</v>
      </c>
      <c r="T22" s="7">
        <v>467907.65</v>
      </c>
      <c r="U22" s="7">
        <v>464433.28</v>
      </c>
      <c r="V22" s="7">
        <v>513258.57</v>
      </c>
      <c r="W22" s="7">
        <v>476916.65</v>
      </c>
      <c r="X22" s="7">
        <v>510769.54</v>
      </c>
      <c r="Y22" s="7">
        <v>4570723.13</v>
      </c>
      <c r="Z22" s="7">
        <v>596564.99</v>
      </c>
      <c r="AA22" s="7">
        <v>594182.92</v>
      </c>
      <c r="AB22" s="7">
        <v>600883.65</v>
      </c>
      <c r="AC22" s="7">
        <v>602617.89</v>
      </c>
      <c r="AD22" s="7">
        <v>563376.4</v>
      </c>
      <c r="AE22" s="7">
        <v>591020.21</v>
      </c>
      <c r="AF22" s="7">
        <v>563392.31</v>
      </c>
      <c r="AG22" s="7">
        <v>550327.64</v>
      </c>
      <c r="AH22" s="11">
        <v>580009.41</v>
      </c>
      <c r="AI22" s="11">
        <v>535879.04</v>
      </c>
      <c r="AJ22" s="11">
        <v>534564.1</v>
      </c>
      <c r="AK22" s="11">
        <v>627890.66</v>
      </c>
      <c r="AL22" s="11">
        <v>722338.95</v>
      </c>
      <c r="AM22" s="11">
        <v>700118.7</v>
      </c>
      <c r="AN22" s="11">
        <v>694526.88</v>
      </c>
      <c r="AO22" s="11">
        <v>622386.6</v>
      </c>
      <c r="AP22" s="11">
        <v>653685.47</v>
      </c>
      <c r="AQ22" s="11">
        <v>714065.69</v>
      </c>
      <c r="AR22" s="11">
        <v>1276071.93</v>
      </c>
      <c r="AS22" s="11">
        <v>647581.05</v>
      </c>
      <c r="AT22" s="11">
        <v>672493.18</v>
      </c>
      <c r="AU22" s="11">
        <v>629364.29</v>
      </c>
      <c r="AV22" s="11">
        <v>673559.14</v>
      </c>
      <c r="AW22" s="4">
        <v>720181.3</v>
      </c>
      <c r="AX22" s="4">
        <v>831334.65</v>
      </c>
      <c r="AY22" s="11">
        <v>788685.47</v>
      </c>
      <c r="AZ22" s="11">
        <v>805480.37</v>
      </c>
      <c r="BA22" s="11">
        <v>664746.65</v>
      </c>
      <c r="BB22" s="11">
        <v>704689.09</v>
      </c>
      <c r="BC22" s="11">
        <v>766073.43</v>
      </c>
      <c r="BD22" s="11">
        <v>720635.68</v>
      </c>
      <c r="BE22" s="11">
        <v>693371.81</v>
      </c>
      <c r="BF22" s="11">
        <v>701795.09</v>
      </c>
      <c r="BG22" s="11">
        <v>714353.93</v>
      </c>
      <c r="BH22" s="11">
        <v>711539.62</v>
      </c>
      <c r="BI22" s="11">
        <v>772984.24</v>
      </c>
      <c r="BJ22" s="11">
        <v>1000369.82</v>
      </c>
      <c r="BK22" s="11">
        <v>921338.88</v>
      </c>
      <c r="BL22" s="11">
        <v>842518.37</v>
      </c>
      <c r="BM22" s="12">
        <v>709388.75</v>
      </c>
      <c r="BN22" s="12">
        <v>781733.75</v>
      </c>
      <c r="BO22" s="12">
        <v>824557.42</v>
      </c>
      <c r="BP22" s="12">
        <v>737898.52</v>
      </c>
      <c r="BQ22" s="12">
        <v>735606.78</v>
      </c>
      <c r="BR22" s="12">
        <v>780957.52</v>
      </c>
      <c r="BS22" s="12">
        <v>769237.22</v>
      </c>
      <c r="BT22" s="12">
        <v>781756.65</v>
      </c>
      <c r="BU22" s="12">
        <v>810294.77</v>
      </c>
      <c r="BV22" s="12">
        <v>0</v>
      </c>
      <c r="BW22" s="12">
        <v>0</v>
      </c>
      <c r="BX22" s="12">
        <v>0</v>
      </c>
      <c r="BY22" s="12"/>
      <c r="BZ22" s="12">
        <v>0</v>
      </c>
      <c r="CA22" s="12">
        <v>0</v>
      </c>
      <c r="CB22" s="5"/>
      <c r="CJ22" s="5"/>
      <c r="CK22" s="5"/>
      <c r="CL22" s="7"/>
      <c r="CM22" s="5"/>
      <c r="CN22" s="5"/>
      <c r="CO22" s="5"/>
      <c r="CP22" s="5"/>
      <c r="CQ22" s="5"/>
      <c r="CR22" s="5"/>
      <c r="CS22" s="5"/>
      <c r="CT22" s="5"/>
      <c r="CU22" s="5"/>
      <c r="DJ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</row>
    <row ht="12.8" outlineLevel="0" r="23">
      <c r="A23" s="4" t="s">
        <v>320</v>
      </c>
      <c r="B23" s="7">
        <v>43213954.23</v>
      </c>
      <c r="C23" s="7">
        <v>24613823.1</v>
      </c>
      <c r="D23" s="7">
        <v>37883198.24</v>
      </c>
      <c r="E23" s="7">
        <v>38864730.32</v>
      </c>
      <c r="F23" s="7">
        <v>30070298.31</v>
      </c>
      <c r="G23" s="7">
        <v>29569533.05</v>
      </c>
      <c r="H23" s="7">
        <v>45571962.45</v>
      </c>
      <c r="I23" s="7">
        <v>38111519.54</v>
      </c>
      <c r="J23" s="7">
        <v>30034776.6</v>
      </c>
      <c r="K23" s="7">
        <v>44883390.89</v>
      </c>
      <c r="L23" s="7">
        <v>41432219.86</v>
      </c>
      <c r="M23" s="7">
        <v>32950014.55</v>
      </c>
      <c r="N23" s="7">
        <v>52455953.51</v>
      </c>
      <c r="O23" s="7">
        <v>27313983.57</v>
      </c>
      <c r="P23" s="7">
        <v>41077084.52</v>
      </c>
      <c r="Q23" s="7">
        <v>55246858.29</v>
      </c>
      <c r="R23" s="7">
        <v>33299641.41</v>
      </c>
      <c r="S23" s="7">
        <v>33044060.5</v>
      </c>
      <c r="T23" s="7">
        <v>46882173.04</v>
      </c>
      <c r="U23" s="7">
        <v>41195889.26</v>
      </c>
      <c r="V23" s="7">
        <v>46516697.39</v>
      </c>
      <c r="W23" s="7">
        <v>42957478.31</v>
      </c>
      <c r="X23" s="7">
        <v>39843702.71</v>
      </c>
      <c r="Y23" s="7">
        <v>40033089.45</v>
      </c>
      <c r="Z23" s="7">
        <v>61462535.14</v>
      </c>
      <c r="AA23" s="7">
        <v>31383874.78</v>
      </c>
      <c r="AB23" s="7">
        <v>53564035.52</v>
      </c>
      <c r="AC23" s="7">
        <v>54196314.58</v>
      </c>
      <c r="AD23" s="7">
        <v>40409820.57</v>
      </c>
      <c r="AE23" s="7">
        <v>43255809.5</v>
      </c>
      <c r="AF23" s="7">
        <v>59960992.39</v>
      </c>
      <c r="AG23" s="7">
        <v>39148712.25</v>
      </c>
      <c r="AH23" s="8">
        <v>46298546.64</v>
      </c>
      <c r="AI23" s="8">
        <v>51341311.24</v>
      </c>
      <c r="AJ23" s="8">
        <v>39955000.83</v>
      </c>
      <c r="AK23" s="8">
        <v>37729433.16</v>
      </c>
      <c r="AL23" s="8">
        <v>75442571.67</v>
      </c>
      <c r="AM23" s="8">
        <v>40572255.6</v>
      </c>
      <c r="AN23" s="8">
        <v>49815464.85</v>
      </c>
      <c r="AO23" s="8">
        <v>57920564.58</v>
      </c>
      <c r="AP23" s="8">
        <v>40008080.28</v>
      </c>
      <c r="AQ23" s="8">
        <v>43019731.35</v>
      </c>
      <c r="AR23" s="8">
        <v>74690824.34</v>
      </c>
      <c r="AS23" s="8">
        <v>43394010.12</v>
      </c>
      <c r="AT23" s="8">
        <v>47653377.3</v>
      </c>
      <c r="AU23" s="8">
        <v>56026558.92</v>
      </c>
      <c r="AV23" s="8">
        <v>39722877.71</v>
      </c>
      <c r="AW23" s="8">
        <v>48667031.8</v>
      </c>
      <c r="AX23" s="8">
        <v>83799630.33</v>
      </c>
      <c r="AY23" s="8">
        <v>30646567.52</v>
      </c>
      <c r="AZ23" s="8">
        <v>45023733.25</v>
      </c>
      <c r="BA23" s="8">
        <v>68506417.33</v>
      </c>
      <c r="BB23" s="8">
        <v>46414923.46</v>
      </c>
      <c r="BC23" s="8">
        <v>49374282.02</v>
      </c>
      <c r="BD23" s="8">
        <v>64091593.17</v>
      </c>
      <c r="BE23" s="8">
        <v>45534573.71</v>
      </c>
      <c r="BF23" s="8">
        <v>48986569.33</v>
      </c>
      <c r="BG23" s="8">
        <v>59807969.28</v>
      </c>
      <c r="BH23" s="8">
        <v>59427679.52</v>
      </c>
      <c r="BI23" s="8">
        <v>54480278.98</v>
      </c>
      <c r="BJ23" s="8">
        <v>92007951.29</v>
      </c>
      <c r="BK23" s="8">
        <v>37505375.39</v>
      </c>
      <c r="BL23" s="8">
        <v>54441955.86</v>
      </c>
      <c r="BM23" s="8">
        <v>66219291.25</v>
      </c>
      <c r="BN23" s="8">
        <v>42201347.1</v>
      </c>
      <c r="BO23" s="8">
        <v>49144243.19</v>
      </c>
      <c r="BP23" s="8">
        <v>62319488.47</v>
      </c>
      <c r="BQ23" s="8">
        <v>50113690.24</v>
      </c>
      <c r="BR23" s="8">
        <v>46818236.1</v>
      </c>
      <c r="BS23" s="8">
        <v>59627442.74</v>
      </c>
      <c r="BT23" s="8">
        <v>46739499.4</v>
      </c>
      <c r="BU23" s="8">
        <v>34439676.3</v>
      </c>
      <c r="BV23" s="8">
        <v>89176820.88632</v>
      </c>
      <c r="BW23" s="8">
        <v>39085557.73349</v>
      </c>
      <c r="BX23" s="8">
        <v>57466657.0778</v>
      </c>
      <c r="BY23" s="8">
        <v>65374618.41932</v>
      </c>
      <c r="BZ23" s="8">
        <v>50799776.98302</v>
      </c>
      <c r="CA23" s="8">
        <v>51115562.47039</v>
      </c>
      <c r="CB23" s="15">
        <v>66405875.6868</v>
      </c>
      <c r="CC23" s="15">
        <v>49807918.82602</v>
      </c>
      <c r="CD23" s="15">
        <v>53595121.21233</v>
      </c>
      <c r="CE23" s="15">
        <v>59586236.58798</v>
      </c>
      <c r="CF23" s="15">
        <v>45230553.77021</v>
      </c>
      <c r="CG23" s="15">
        <v>46878042.3960199</v>
      </c>
      <c r="CH23" s="15">
        <v>107888448.61786</v>
      </c>
      <c r="CI23" s="15">
        <v>38055995.24592</v>
      </c>
      <c r="CJ23" s="15">
        <v>58945651.90207</v>
      </c>
      <c r="CK23" s="15">
        <v>68933970.13029</v>
      </c>
      <c r="CL23" s="15">
        <v>43224376.3190499</v>
      </c>
      <c r="CM23" s="15">
        <v>51809746.27856</v>
      </c>
      <c r="CN23" s="15">
        <v>67590090.63482</v>
      </c>
      <c r="CO23" s="15">
        <v>46050672.54867</v>
      </c>
      <c r="CP23" s="15">
        <v>48940467.91642</v>
      </c>
      <c r="CQ23" s="15">
        <v>101717329.73762</v>
      </c>
      <c r="CR23" s="15">
        <v>42243860.45131</v>
      </c>
      <c r="CS23" s="15">
        <v>34528964.72399</v>
      </c>
      <c r="CT23" s="9">
        <v>113022678.99823</v>
      </c>
      <c r="CU23" s="9">
        <v>37977618.92221</v>
      </c>
      <c r="CV23" s="9">
        <v>59247901.47654</v>
      </c>
      <c r="CW23" s="9">
        <v>72177723.01139</v>
      </c>
      <c r="CX23" s="9">
        <v>45346360.6105</v>
      </c>
      <c r="CY23" s="9">
        <v>54397626.58431</v>
      </c>
      <c r="CZ23" s="9">
        <v>64638123.60258</v>
      </c>
      <c r="DA23" s="9">
        <v>56292425.76326</v>
      </c>
      <c r="DB23" s="9">
        <v>56770133.0343</v>
      </c>
      <c r="DC23" s="9">
        <v>68964248.96715</v>
      </c>
      <c r="DD23" s="9">
        <v>67022611.7528701</v>
      </c>
      <c r="DE23" s="9">
        <v>31396871.65871</v>
      </c>
      <c r="DF23" s="9">
        <f>+DF2-DF12</f>
        <v>116176777.8073</v>
      </c>
      <c r="DG23" s="9">
        <f>+DG2-DG12</f>
        <v>44079673.5406</v>
      </c>
      <c r="DH23" s="9">
        <f>+DH2-DH12</f>
        <v>55952866.33681</v>
      </c>
      <c r="DI23" s="9">
        <f>+DI2-DI12</f>
        <v>82594352.67352</v>
      </c>
      <c r="DJ23" s="9">
        <f>+DJ2-DJ12</f>
        <v>59109179.12356</v>
      </c>
      <c r="DK23" s="9">
        <f>+DK2-DK12</f>
        <v>53125494.08824</v>
      </c>
      <c r="DL23" s="9">
        <v>78098939.14851</v>
      </c>
      <c r="DM23" s="9">
        <v>57060946.91358</v>
      </c>
      <c r="DN23" s="9">
        <v>62971962.45442</v>
      </c>
      <c r="DO23" s="9">
        <f>+DO2-DO12</f>
        <v>77619101.96604</v>
      </c>
      <c r="DP23" s="9">
        <f>+DP2-DP12</f>
        <v>62235228.97987</v>
      </c>
      <c r="DQ23" s="9">
        <f>+DQ2-DQ12</f>
        <v>56323880.43412</v>
      </c>
      <c r="DR23" s="9">
        <v>112791448.58275</v>
      </c>
      <c r="DS23" s="9">
        <v>51384872.88523</v>
      </c>
      <c r="DT23" s="9">
        <v>62196509.21931</v>
      </c>
      <c r="DU23" s="9">
        <v>85699056.3333</v>
      </c>
      <c r="DV23" s="9">
        <v>57449145.01914</v>
      </c>
      <c r="DW23" s="9">
        <v>57316147.66335</v>
      </c>
      <c r="DX23" s="9">
        <v>85458426.3979801</v>
      </c>
      <c r="DY23" s="9">
        <v>57711512.13956</v>
      </c>
      <c r="DZ23" s="9">
        <v>67679940.7067</v>
      </c>
      <c r="EA23" s="9">
        <v>81942450.27692</v>
      </c>
      <c r="EB23" s="9">
        <v>64802441.3993901</v>
      </c>
      <c r="EC23" s="9">
        <v>121226638.97066</v>
      </c>
      <c r="ED23" s="9">
        <v>127328744.56613</v>
      </c>
      <c r="EE23" s="9">
        <v>47193711.2359</v>
      </c>
      <c r="EF23" s="9">
        <v>54483571.47458</v>
      </c>
      <c r="EG23" s="9">
        <v>56560172.15422</v>
      </c>
      <c r="EH23" s="9">
        <v>30362147.29667</v>
      </c>
      <c r="EI23" s="9">
        <v>31773129.72994</v>
      </c>
      <c r="EJ23" s="9">
        <v>41972429.60861</v>
      </c>
      <c r="EK23" s="9">
        <v>39786142.60312</v>
      </c>
      <c r="EL23" s="9">
        <v>47923232.13796</v>
      </c>
      <c r="EM23" s="9">
        <v>81569844.59655</v>
      </c>
      <c r="EN23" s="9">
        <v>65278907.03339</v>
      </c>
      <c r="EO23" s="9">
        <v>27711233.59408</v>
      </c>
      <c r="EP23" s="9">
        <v>159037166.50018</v>
      </c>
      <c r="EQ23" s="9">
        <v>58144208.76936</v>
      </c>
      <c r="ER23" s="9">
        <v>79273318.77166</v>
      </c>
      <c r="ES23" s="9">
        <f>+ES2-ES12</f>
        <v>100191842.89727</v>
      </c>
      <c r="ET23" s="9">
        <f>+ET2-ET12</f>
        <v>81105392.33931</v>
      </c>
      <c r="EU23" s="9">
        <f>+EU2-EU12</f>
        <v>64901469.66888</v>
      </c>
      <c r="EV23" s="9">
        <f>+EV2-EV12</f>
        <v>100430565.17006</v>
      </c>
      <c r="EW23" s="9">
        <f>+EW2-EW12</f>
        <v>73163812.5581699</v>
      </c>
      <c r="EX23" s="9">
        <f>+EX2-EX12</f>
        <v>80555441.4298601</v>
      </c>
    </row>
    <row ht="12.8" outlineLevel="0" r="24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BG24" s="11"/>
      <c r="CJ24" s="5"/>
      <c r="CK24" s="5"/>
      <c r="CM24" s="5"/>
    </row>
    <row ht="12.8" outlineLevel="0" r="25">
      <c r="M25" s="7">
        <f>SUM(B23:M23)*1000</f>
        <v>437199421140</v>
      </c>
      <c r="N25" s="7">
        <f>SUM(C23:N23)*1000</f>
        <v>446441420420</v>
      </c>
      <c r="O25" s="7">
        <f>SUM(D23:O23)*1000</f>
        <v>449141580890</v>
      </c>
      <c r="P25" s="7">
        <f>SUM(E23:P23)*1000</f>
        <v>452335467170</v>
      </c>
      <c r="Q25" s="7">
        <f>SUM(F23:Q23)*1000</f>
        <v>468717595140</v>
      </c>
      <c r="R25" s="7">
        <f>SUM(G23:R23)*1000</f>
        <v>471946938240</v>
      </c>
      <c r="S25" s="7">
        <f>SUM(H23:S23)*1000</f>
        <v>475421465690</v>
      </c>
      <c r="T25" s="7">
        <f>SUM(I23:T23)*1000</f>
        <v>476731676280</v>
      </c>
      <c r="U25" s="7">
        <f>SUM(J23:U23)*1000</f>
        <v>479816046000</v>
      </c>
      <c r="V25" s="7">
        <f>SUM(K23:V23)*1000</f>
        <v>496297966790</v>
      </c>
      <c r="W25" s="7">
        <f>SUM(L23:W23)*1000</f>
        <v>494372054210</v>
      </c>
      <c r="X25" s="7">
        <f>SUM(M23:X23)*1000</f>
        <v>492783537060</v>
      </c>
      <c r="Y25" s="7">
        <f>SUM(N23:Y23)*1000</f>
        <v>499866611960</v>
      </c>
      <c r="Z25" s="7">
        <f>SUM(O23:Z23)*1000</f>
        <v>508873193590</v>
      </c>
      <c r="AA25" s="7">
        <f>SUM(P23:AA23)*1000</f>
        <v>512943084800</v>
      </c>
      <c r="AB25" s="7">
        <f>SUM(Q23:AB23)*1000</f>
        <v>525430035800</v>
      </c>
      <c r="AC25" s="7">
        <f>SUM(R23:AC23)*1000</f>
        <v>524379492090</v>
      </c>
      <c r="AD25" s="7">
        <f>SUM(S23:AD23)*1000</f>
        <v>531489671250</v>
      </c>
      <c r="AE25" s="7">
        <f>SUM(T23:AE23)*1000</f>
        <v>541701420250</v>
      </c>
      <c r="AF25" s="7">
        <f>SUM(U23:AF23)*1000</f>
        <v>554780239600</v>
      </c>
      <c r="AG25" s="7">
        <f>SUM(V23:AG23)*1000</f>
        <v>552733062590</v>
      </c>
      <c r="AH25" s="7">
        <f>SUM(W23:AH23)*1000</f>
        <v>552514911840</v>
      </c>
      <c r="AI25" s="7">
        <f>SUM(X23:AI23)*1000</f>
        <v>560898744770</v>
      </c>
      <c r="AJ25" s="7">
        <f>SUM(Y23:AJ23)*1000</f>
        <v>561010042890</v>
      </c>
      <c r="AK25" s="7">
        <f>SUM(Z23:AK23)*1000</f>
        <v>558706386600</v>
      </c>
      <c r="AL25" s="7">
        <f>SUM(AA23:AL23)*1000</f>
        <v>572686423130</v>
      </c>
      <c r="AM25" s="7">
        <f>SUM(AB23:AM23)*1000</f>
        <v>581874803950</v>
      </c>
      <c r="AN25" s="7">
        <f>SUM(AC23:AN23)*1000</f>
        <v>578126233280</v>
      </c>
      <c r="AO25" s="7">
        <f>SUM(AD23:AO23)*1000</f>
        <v>581850483280</v>
      </c>
      <c r="AP25" s="7">
        <f>SUM(AE23:AP23)*1000</f>
        <v>581448742990</v>
      </c>
      <c r="AQ25" s="7">
        <f>SUM(AF23:AQ23)*1000</f>
        <v>581212664840</v>
      </c>
      <c r="AR25" s="7">
        <f>SUM(AG23:AR23)*1000</f>
        <v>595942496790</v>
      </c>
      <c r="AS25" s="7">
        <f>SUM(AH23:AS23)*1000</f>
        <v>600187794660</v>
      </c>
      <c r="AT25" s="7">
        <f>SUM(AI23:AT23)*1000</f>
        <v>601542625320</v>
      </c>
      <c r="AU25" s="7">
        <f>SUM(AJ23:AU23)*1000</f>
        <v>606227873000</v>
      </c>
      <c r="AV25" s="7">
        <f>SUM(AK23:AV23)*1000</f>
        <v>605995749880</v>
      </c>
      <c r="AW25" s="7">
        <f>SUM(AL23:AW23)*1000</f>
        <v>616933348520</v>
      </c>
      <c r="AX25" s="7">
        <f>SUM(AM23:AX23)*1000</f>
        <v>625290407180</v>
      </c>
      <c r="AY25" s="7">
        <f>SUM(AN23:AY23)*1000</f>
        <v>615364719100</v>
      </c>
      <c r="AZ25" s="7">
        <f>SUM(AO23:AZ23)*1000</f>
        <v>610572987500</v>
      </c>
      <c r="BA25" s="7">
        <f>SUM(AP23:BA23)*1000</f>
        <v>621158840250</v>
      </c>
      <c r="BB25" s="7">
        <f>SUM(AQ23:BB23)*1000</f>
        <v>627565683430</v>
      </c>
      <c r="BC25" s="7">
        <f>SUM(AR23:BC23)*1000</f>
        <v>633920234100</v>
      </c>
      <c r="BD25" s="7">
        <f>SUM(AS23:BD23)*1000</f>
        <v>623321002930</v>
      </c>
      <c r="BE25" s="7">
        <f>SUM(AT23:BE23)*1000</f>
        <v>625461566520</v>
      </c>
      <c r="BF25" s="7">
        <f>SUM(AU23:BF23)*1000</f>
        <v>626794758550</v>
      </c>
      <c r="BG25" s="7">
        <f>SUM(AV23:BG23)*1000</f>
        <v>630576168910</v>
      </c>
      <c r="BH25" s="7">
        <f>SUM(AW23:BH23)*1000</f>
        <v>650280970720</v>
      </c>
      <c r="BI25" s="7">
        <f>SUM(AX23:BI23)*1000</f>
        <v>656094217900</v>
      </c>
      <c r="BJ25" s="7">
        <f>SUM(AY23:BJ23)*1000</f>
        <v>664302538860</v>
      </c>
      <c r="BK25" s="7">
        <f>SUM(AZ23:BK23)*1000</f>
        <v>671161346730</v>
      </c>
      <c r="BL25" s="7">
        <f>SUM(BA23:BL23)*1000</f>
        <v>680579569340</v>
      </c>
      <c r="BM25" s="7">
        <f>SUM(BB23:BM23)*1000</f>
        <v>678292443260</v>
      </c>
      <c r="BN25" s="7">
        <f>SUM(BC23:BN23)*1000</f>
        <v>674078866900</v>
      </c>
      <c r="BO25" s="7">
        <f>SUM(BD23:BO23)*1000</f>
        <v>673848828070</v>
      </c>
      <c r="BP25" s="7">
        <f>SUM(BE23:BP23)*1000</f>
        <v>672076723370</v>
      </c>
      <c r="BQ25" s="7">
        <f>SUM(BF23:BQ23)*1000</f>
        <v>676655839900</v>
      </c>
      <c r="BR25" s="7">
        <f>SUM(BG23:BR23)*1000</f>
        <v>674487506670</v>
      </c>
      <c r="BS25" s="7">
        <f>SUM(BH23:BS23)*1000</f>
        <v>674306980130</v>
      </c>
      <c r="BT25" s="7">
        <f>SUM(BI23:BT23)*1000</f>
        <v>661618800010</v>
      </c>
      <c r="BU25" s="7">
        <f>SUM(BJ23:BU23)*1000</f>
        <v>641578197330</v>
      </c>
      <c r="BV25" s="7">
        <f>SUM(BK23:BV23)*1000</f>
        <v>638747066926.32</v>
      </c>
      <c r="BW25" s="7">
        <f>SUM(BL23:BW23)*1000</f>
        <v>640327249269.81</v>
      </c>
      <c r="BX25" s="7">
        <f>SUM(BM23:BX23)*1000</f>
        <v>643351950487.61</v>
      </c>
      <c r="BY25" s="7">
        <f>SUM(BN23:BY23)*1000</f>
        <v>642507277656.93</v>
      </c>
      <c r="BZ25" s="7">
        <f>SUM(BO23:BZ23)*1000</f>
        <v>651105707539.95</v>
      </c>
      <c r="CA25" s="7">
        <f>SUM(BP23:CA23)*1000</f>
        <v>653077026820.34</v>
      </c>
      <c r="CB25" s="7">
        <f>SUM(BQ23:CB23)*1000</f>
        <v>657163414037.14</v>
      </c>
      <c r="CC25" s="7">
        <f>SUM(BR23:CC23)*1000</f>
        <v>656857642623.16</v>
      </c>
      <c r="CD25" s="7">
        <f>SUM(BS23:CD23)*1000</f>
        <v>663634527735.49</v>
      </c>
      <c r="CE25" s="7">
        <f>SUM(BT23:CE23)*1000</f>
        <v>663593321583.47</v>
      </c>
      <c r="CF25" s="7">
        <f>SUM(BU23:CF23)*1000</f>
        <v>662084375953.68</v>
      </c>
      <c r="CG25" s="7">
        <f>SUM(BV23:CG23)*1000</f>
        <v>674522742049.7</v>
      </c>
      <c r="CH25" s="7">
        <f>SUM(BW23:CH23)*1000</f>
        <v>693234369781.24</v>
      </c>
      <c r="CI25" s="7">
        <f>SUM(BX23:CI23)*1000</f>
        <v>692204807293.67</v>
      </c>
      <c r="CJ25" s="7">
        <f>SUM(BY23:CJ23)*1000</f>
        <v>693683802117.94</v>
      </c>
      <c r="CK25" s="7">
        <f>SUM(BZ23:CK23)*1000</f>
        <v>697243153828.91</v>
      </c>
      <c r="CL25" s="7">
        <f>SUM(CA23:CL23)*1000</f>
        <v>689667753164.94</v>
      </c>
      <c r="CM25" s="7">
        <f>SUM(CB23:CM23)*1000</f>
        <v>690361936973.11</v>
      </c>
      <c r="CN25" s="7">
        <f>SUM(CC23:CN23)*1000</f>
        <v>691546151921.13</v>
      </c>
      <c r="CO25" s="7">
        <f>SUM(CD23:CO23)*1000</f>
        <v>687788905643.78</v>
      </c>
      <c r="CP25" s="7">
        <f>SUM(CE23:CP23)*1000</f>
        <v>683134252347.87</v>
      </c>
      <c r="CQ25" s="7">
        <f>SUM(CF23:CQ23)*1000</f>
        <v>725265345497.51</v>
      </c>
      <c r="CR25" s="7">
        <f>SUM(CG23:CR23)*1000</f>
        <v>722278652178.61</v>
      </c>
      <c r="CS25" s="7">
        <f>SUM(CH23:CS23)*1000</f>
        <v>709929574506.58</v>
      </c>
      <c r="CT25" s="7">
        <f>SUM(CI23:CT23)*1000</f>
        <v>715063804886.95</v>
      </c>
      <c r="CU25" s="7">
        <f>SUM(CJ23:CU23)*1000</f>
        <v>714985428563.24</v>
      </c>
      <c r="CV25" s="7">
        <f>SUM(CK23:CV23)*1000</f>
        <v>715287678137.71</v>
      </c>
      <c r="CW25" s="7">
        <f>SUM(CL23:CW23)*1000</f>
        <v>718531431018.81</v>
      </c>
      <c r="CX25" s="7">
        <f>SUM(CM23:CX23)*1000</f>
        <v>720653415310.26</v>
      </c>
      <c r="CY25" s="7">
        <f>SUM(CN23:CY23)*1000</f>
        <v>723241295616.01</v>
      </c>
      <c r="CZ25" s="7">
        <f>SUM(CO23:CZ23)*1000</f>
        <v>720289328583.77</v>
      </c>
      <c r="DA25" s="7">
        <f>SUM(CP23:DA23)*1000</f>
        <v>730531081798.36</v>
      </c>
      <c r="DB25" s="7">
        <f>SUM(CQ23:DB23)*1000</f>
        <v>738360746916.24</v>
      </c>
      <c r="DC25" s="7">
        <f>SUM(CR23:DC23)*1000</f>
        <v>705607666145.77</v>
      </c>
      <c r="DD25" s="7">
        <f>SUM(CS23:DD23)*1000</f>
        <v>730386417447.33</v>
      </c>
      <c r="DE25" s="7">
        <f>SUM(CT23:DE23)*1000</f>
        <v>727254324382.05</v>
      </c>
      <c r="DF25" s="7">
        <f>SUM(CU23:DF23)*1000</f>
        <v>730408423191.12</v>
      </c>
      <c r="DG25" s="7">
        <f>SUM(CV23:DG23)*1000</f>
        <v>736510477809.51</v>
      </c>
      <c r="DH25" s="7">
        <f>SUM(CW23:DH23)*1000</f>
        <v>733215442669.78</v>
      </c>
      <c r="DI25" s="7">
        <f>SUM(CX23:DI23)*1000</f>
        <v>743632072331.91</v>
      </c>
      <c r="DJ25" s="7">
        <f>SUM(CY23:DJ23)*1000</f>
        <v>757394890844.97</v>
      </c>
      <c r="DK25" s="7">
        <f>SUM(CZ23:DK23)*1000</f>
        <v>756122758348.9</v>
      </c>
      <c r="DL25" s="7">
        <f>SUM(DA23:DL23)*1000</f>
        <v>769583573894.83</v>
      </c>
      <c r="DM25" s="7">
        <f>SUM(DB23:DM23)*1000</f>
        <v>770352095045.15</v>
      </c>
      <c r="DN25" s="7">
        <f>SUM(DC23:DN23)*1000</f>
        <v>776553924465.27</v>
      </c>
      <c r="DO25" s="7">
        <f>SUM(DD23:DO23)*1000</f>
        <v>785208777464.16</v>
      </c>
      <c r="DP25" s="7">
        <f>SUM(DE23:DP23)*1000</f>
        <v>780421394691.16</v>
      </c>
      <c r="DQ25" s="7">
        <f>SUM(DF23:DQ23)*1000</f>
        <v>805348403466.57</v>
      </c>
      <c r="DR25" s="7">
        <f>SUM(DG23:DR23)*1000</f>
        <v>801963074242.02</v>
      </c>
      <c r="DS25" s="7">
        <f>SUM(DH23:DS23)*1000</f>
        <v>809268273586.65</v>
      </c>
      <c r="DT25" s="7">
        <f>SUM(DI23:DT23)*1000</f>
        <v>815511916469.15</v>
      </c>
      <c r="DU25" s="7">
        <f>SUM(DJ23:DU23)*1000</f>
        <v>818616620128.93</v>
      </c>
      <c r="DV25" s="7">
        <f>SUM(DK23:DV23)*1000</f>
        <v>816956586024.51</v>
      </c>
      <c r="DW25" s="7">
        <f>SUM(DL23:DW23)*1000</f>
        <v>821147239599.62</v>
      </c>
      <c r="DX25" s="7">
        <f>SUM(DM23:DX23)*1000</f>
        <v>828506726849.09</v>
      </c>
      <c r="DY25" s="7">
        <f>SUM(DN23:DY23)*1000</f>
        <v>829157292075.07</v>
      </c>
      <c r="DZ25" s="7">
        <f>SUM(DO23:DZ23)*1000</f>
        <v>833865270327.35</v>
      </c>
      <c r="EA25" s="7">
        <f>SUM(DP23:EA23)*1000</f>
        <v>838188618638.23</v>
      </c>
      <c r="EB25" s="7">
        <f>SUM(DQ23:EB23)*1000</f>
        <v>840755831057.75</v>
      </c>
      <c r="EC25" s="7">
        <f>SUM(DR23:EC23)*1000</f>
        <v>905658589594.29</v>
      </c>
      <c r="ED25" s="7">
        <f>SUM(DS23:ED23)*1000</f>
        <v>920195885577.67</v>
      </c>
      <c r="EE25" s="7">
        <f>SUM(DT23:EE23)*1000</f>
        <v>916004723928.34</v>
      </c>
      <c r="EF25" s="7">
        <f>SUM(DU23:EF23)*1000</f>
        <v>908291786183.61</v>
      </c>
      <c r="EG25" s="7">
        <f>SUM(DV23:EG23)*1000</f>
        <v>879152902004.53</v>
      </c>
      <c r="EH25" s="7">
        <f>SUM(DW23:EH23)*1000</f>
        <v>852065904282.06</v>
      </c>
      <c r="EI25" s="7">
        <f>SUM(DX23:EI23)*1000</f>
        <v>826522886348.65</v>
      </c>
      <c r="EJ25" s="7">
        <f>SUM(DY23:EJ23)*1000</f>
        <v>783036889559.28</v>
      </c>
      <c r="EK25" s="7">
        <f>SUM(DZ23:EK23)*1000</f>
        <v>765111520022.84</v>
      </c>
      <c r="EL25" s="7">
        <f>SUM(EA23:EL23)*1000</f>
        <v>745354811454.1</v>
      </c>
      <c r="EM25" s="7">
        <f>SUM(EB23:EM23)*1000</f>
        <v>744982205773.73</v>
      </c>
      <c r="EN25" s="7">
        <f>SUM(EC23:EN23)*1000</f>
        <v>745458671407.73</v>
      </c>
      <c r="EO25" s="7">
        <f>SUM(ED23:EO23)*1000</f>
        <v>651943266031.15</v>
      </c>
      <c r="EP25" s="7">
        <f>SUM(EE23:EP23)*1000</f>
        <v>683651687965.2</v>
      </c>
      <c r="EQ25" s="7">
        <f>SUM(EF23:EQ23)*1000</f>
        <v>694602185498.66</v>
      </c>
      <c r="ER25" s="7">
        <f>SUM(EG23:ER23)*1000</f>
        <v>719391932795.74</v>
      </c>
      <c r="ES25" s="7">
        <f>SUM(EH23:ES23)*1000</f>
        <v>763023603538.79</v>
      </c>
      <c r="ET25" s="7">
        <f>SUM(EI23:ET23)*1000</f>
        <v>813766848581.43</v>
      </c>
      <c r="EU25" s="7">
        <f>SUM(EJ23:EU23)*1000</f>
        <v>846895188520.37</v>
      </c>
      <c r="EV25" s="7">
        <f>SUM(EK23:EV23)*1000</f>
        <v>905353324081.82</v>
      </c>
      <c r="EW25" s="7">
        <f>SUM(EL23:EW23)*1000</f>
        <v>938730994036.87</v>
      </c>
      <c r="EX25" s="7">
        <f>SUM(EM23:EX23)*1000</f>
        <v>971363203328.77</v>
      </c>
    </row>
    <row ht="12.8" outlineLevel="0" r="26">
      <c r="M26" s="16">
        <v>40148</v>
      </c>
      <c r="N26" s="16">
        <v>40179</v>
      </c>
      <c r="O26" s="16">
        <v>40210</v>
      </c>
      <c r="P26" s="16">
        <v>40238</v>
      </c>
      <c r="Q26" s="16">
        <v>40269</v>
      </c>
      <c r="R26" s="16">
        <v>40299</v>
      </c>
      <c r="S26" s="16">
        <v>40330</v>
      </c>
      <c r="T26" s="16">
        <v>40360</v>
      </c>
      <c r="U26" s="16">
        <v>40391</v>
      </c>
      <c r="V26" s="16">
        <v>40422</v>
      </c>
      <c r="W26" s="16">
        <v>40452</v>
      </c>
      <c r="X26" s="16">
        <v>40483</v>
      </c>
      <c r="Y26" s="16">
        <v>40513</v>
      </c>
      <c r="Z26" s="16">
        <v>40544</v>
      </c>
      <c r="AA26" s="16">
        <v>40575</v>
      </c>
      <c r="AB26" s="16">
        <v>40603</v>
      </c>
      <c r="AC26" s="16">
        <v>40634</v>
      </c>
      <c r="AD26" s="16">
        <v>40664</v>
      </c>
      <c r="AE26" s="16">
        <v>40695</v>
      </c>
      <c r="AF26" s="16">
        <v>40725</v>
      </c>
      <c r="AG26" s="16">
        <v>40756</v>
      </c>
      <c r="AH26" s="16">
        <v>40787</v>
      </c>
      <c r="AI26" s="16">
        <v>40817</v>
      </c>
      <c r="AJ26" s="16">
        <v>40848</v>
      </c>
      <c r="AK26" s="16">
        <v>40878</v>
      </c>
      <c r="AL26" s="16">
        <v>40909</v>
      </c>
      <c r="AM26" s="16">
        <v>40940</v>
      </c>
      <c r="AN26" s="16">
        <v>40969</v>
      </c>
      <c r="AO26" s="16">
        <v>41000</v>
      </c>
      <c r="AP26" s="16">
        <v>41030</v>
      </c>
      <c r="AQ26" s="16">
        <v>41061</v>
      </c>
      <c r="AR26" s="16">
        <v>41091</v>
      </c>
      <c r="AS26" s="16">
        <v>41122</v>
      </c>
      <c r="AT26" s="16">
        <v>41153</v>
      </c>
      <c r="AU26" s="16">
        <v>41183</v>
      </c>
      <c r="AV26" s="16">
        <v>41214</v>
      </c>
      <c r="AW26" s="16">
        <v>41244</v>
      </c>
      <c r="AX26" s="16">
        <v>41275</v>
      </c>
      <c r="AY26" s="16">
        <v>41306</v>
      </c>
      <c r="AZ26" s="16">
        <v>41334</v>
      </c>
      <c r="BA26" s="16">
        <v>41365</v>
      </c>
      <c r="BB26" s="16">
        <v>41395</v>
      </c>
      <c r="BC26" s="16">
        <v>41426</v>
      </c>
      <c r="BD26" s="16">
        <v>41456</v>
      </c>
      <c r="BE26" s="16">
        <v>41487</v>
      </c>
      <c r="BF26" s="16">
        <v>41518</v>
      </c>
      <c r="BG26" s="16">
        <v>41548</v>
      </c>
      <c r="BH26" s="16">
        <v>41579</v>
      </c>
      <c r="BI26" s="16">
        <v>41609</v>
      </c>
      <c r="BJ26" s="16">
        <v>41640</v>
      </c>
      <c r="BK26" s="16">
        <v>41671</v>
      </c>
      <c r="BL26" s="16">
        <v>41699</v>
      </c>
      <c r="BM26" s="16">
        <v>41730</v>
      </c>
      <c r="BN26" s="16">
        <v>41760</v>
      </c>
      <c r="BO26" s="16">
        <v>41791</v>
      </c>
      <c r="BP26" s="16">
        <v>41821</v>
      </c>
      <c r="BQ26" s="16">
        <v>41852</v>
      </c>
      <c r="BR26" s="16">
        <v>41883</v>
      </c>
      <c r="BS26" s="16">
        <v>41913</v>
      </c>
      <c r="BT26" s="16">
        <v>41944</v>
      </c>
      <c r="BU26" s="16">
        <v>41974</v>
      </c>
      <c r="BV26" s="16">
        <v>42005</v>
      </c>
      <c r="BW26" s="16">
        <v>42036</v>
      </c>
      <c r="BX26" s="16">
        <v>42064</v>
      </c>
      <c r="BY26" s="16">
        <v>42095</v>
      </c>
      <c r="BZ26" s="16">
        <v>42125</v>
      </c>
      <c r="CA26" s="16">
        <v>42156</v>
      </c>
      <c r="CB26" s="16">
        <v>42186</v>
      </c>
      <c r="CC26" s="16">
        <v>42217</v>
      </c>
      <c r="CD26" s="16">
        <v>42248</v>
      </c>
      <c r="CE26" s="16">
        <v>42278</v>
      </c>
      <c r="CF26" s="16">
        <v>42309</v>
      </c>
      <c r="CG26" s="16">
        <v>42339</v>
      </c>
      <c r="CH26" s="16">
        <v>42370</v>
      </c>
      <c r="CI26" s="16">
        <v>42401</v>
      </c>
      <c r="CJ26" s="16">
        <v>42430</v>
      </c>
      <c r="CK26" s="16">
        <v>42461</v>
      </c>
      <c r="CL26" s="16">
        <v>42491</v>
      </c>
      <c r="CM26" s="16">
        <v>42522</v>
      </c>
      <c r="CN26" s="16">
        <v>42552</v>
      </c>
      <c r="CO26" s="16">
        <v>42583</v>
      </c>
      <c r="CP26" s="16">
        <v>42614</v>
      </c>
      <c r="CQ26" s="16">
        <v>42644</v>
      </c>
      <c r="CR26" s="16">
        <v>42675</v>
      </c>
      <c r="CS26" s="16">
        <v>42705</v>
      </c>
      <c r="CT26" s="16">
        <v>42736</v>
      </c>
      <c r="CU26" s="16">
        <v>42767</v>
      </c>
      <c r="CV26" s="16">
        <v>42795</v>
      </c>
      <c r="CW26" s="16">
        <v>42826</v>
      </c>
      <c r="CX26" s="16">
        <v>42856</v>
      </c>
      <c r="CY26" s="16">
        <v>42887</v>
      </c>
      <c r="CZ26" s="16">
        <v>42917</v>
      </c>
      <c r="DA26" s="16">
        <v>42948</v>
      </c>
      <c r="DB26" s="16">
        <v>42979</v>
      </c>
      <c r="DC26" s="16">
        <v>43009</v>
      </c>
      <c r="DD26" s="16">
        <v>43040</v>
      </c>
      <c r="DE26" s="16">
        <v>43070</v>
      </c>
      <c r="DF26" s="16">
        <v>43101</v>
      </c>
      <c r="DG26" s="16">
        <v>43132</v>
      </c>
      <c r="DH26" s="16">
        <v>43160</v>
      </c>
      <c r="DI26" s="16">
        <v>43191</v>
      </c>
      <c r="DJ26" s="16">
        <v>43221</v>
      </c>
      <c r="DK26" s="16">
        <v>43252</v>
      </c>
      <c r="DL26" s="16">
        <v>43282</v>
      </c>
      <c r="DM26" s="16">
        <v>43313</v>
      </c>
      <c r="DN26" s="16">
        <v>43344</v>
      </c>
      <c r="DO26" s="16">
        <v>43374</v>
      </c>
      <c r="DP26" s="16">
        <v>43405</v>
      </c>
      <c r="DQ26" s="16">
        <v>43435</v>
      </c>
      <c r="DR26" s="16">
        <v>43466</v>
      </c>
      <c r="DS26" s="16">
        <v>43497</v>
      </c>
      <c r="DT26" s="16">
        <v>43525</v>
      </c>
      <c r="DU26" s="16">
        <v>43556</v>
      </c>
      <c r="DV26" s="16">
        <v>43586</v>
      </c>
      <c r="DW26" s="16">
        <v>43617</v>
      </c>
      <c r="DX26" s="16">
        <v>43647</v>
      </c>
      <c r="DY26" s="16">
        <v>43678</v>
      </c>
      <c r="DZ26" s="16">
        <v>43709</v>
      </c>
      <c r="EA26" s="16">
        <v>43739</v>
      </c>
      <c r="EB26" s="16">
        <v>43770</v>
      </c>
      <c r="EC26" s="16">
        <v>43800</v>
      </c>
      <c r="ED26" s="16">
        <v>43831</v>
      </c>
      <c r="EE26" s="16">
        <v>43862</v>
      </c>
      <c r="EF26" s="16">
        <v>43891</v>
      </c>
      <c r="EG26" s="16">
        <v>43922</v>
      </c>
      <c r="EH26" s="16">
        <v>43952</v>
      </c>
      <c r="EI26" s="16">
        <v>43983</v>
      </c>
      <c r="EJ26" s="16">
        <v>44013</v>
      </c>
      <c r="EK26" s="16">
        <v>44044</v>
      </c>
      <c r="EL26" s="16">
        <v>44075</v>
      </c>
      <c r="EM26" s="16">
        <v>44105</v>
      </c>
      <c r="EN26" s="16">
        <v>44136</v>
      </c>
      <c r="EO26" s="16">
        <v>44166</v>
      </c>
      <c r="EP26" s="16">
        <v>44197</v>
      </c>
      <c r="EQ26" s="16">
        <v>44228</v>
      </c>
      <c r="ER26" s="16">
        <v>44256</v>
      </c>
      <c r="ES26" s="16">
        <v>44287</v>
      </c>
      <c r="ET26" s="16">
        <v>44317</v>
      </c>
      <c r="EU26" s="16">
        <v>44348</v>
      </c>
      <c r="EV26" s="16">
        <v>44378</v>
      </c>
      <c r="EW26" s="16">
        <v>44409</v>
      </c>
      <c r="EX26" s="17">
        <v>44440</v>
      </c>
    </row>
    <row ht="12.8" outlineLevel="0" r="27">
      <c r="L27" s="4" t="s">
        <v>321</v>
      </c>
      <c r="M27" s="7">
        <f>IF(MOD(MONTH(M1),4)=0,M25,"")</f>
        <v>437199421140</v>
      </c>
      <c r="N27" s="7" t="str">
        <f>IF(MOD(MONTH(N1),4)=0,N25,"")</f>
        <v/>
      </c>
      <c r="O27" s="7" t="str">
        <f>IF(MOD(MONTH(O1),4)=0,O25,"")</f>
        <v/>
      </c>
      <c r="P27" s="7" t="str">
        <f>IF(MOD(MONTH(P1),4)=0,P25,"")</f>
        <v/>
      </c>
      <c r="Q27" s="7">
        <f>IF(MOD(MONTH(Q1),4)=0,Q25,"")</f>
        <v>468717595140</v>
      </c>
      <c r="R27" s="7" t="str">
        <f>IF(MOD(MONTH(R1),4)=0,R25,"")</f>
        <v/>
      </c>
      <c r="S27" s="7" t="str">
        <f>IF(MOD(MONTH(S1),4)=0,S25,"")</f>
        <v/>
      </c>
      <c r="T27" s="7" t="str">
        <f>IF(MOD(MONTH(T1),4)=0,T25,"")</f>
        <v/>
      </c>
      <c r="U27" s="7">
        <f>IF(MOD(MONTH(U1),4)=0,U25,"")</f>
        <v>479816046000</v>
      </c>
      <c r="V27" s="7" t="str">
        <f>IF(MOD(MONTH(V1),4)=0,V25,"")</f>
        <v/>
      </c>
      <c r="W27" s="7" t="str">
        <f>IF(MOD(MONTH(W1),4)=0,W25,"")</f>
        <v/>
      </c>
      <c r="X27" s="7" t="str">
        <f>IF(MOD(MONTH(X1),4)=0,X25,"")</f>
        <v/>
      </c>
      <c r="Y27" s="7">
        <f>IF(MOD(MONTH(Y1),4)=0,Y25,"")</f>
        <v>499866611960</v>
      </c>
      <c r="Z27" s="7" t="str">
        <f>IF(MOD(MONTH(Z1),4)=0,Z25,"")</f>
        <v/>
      </c>
      <c r="AA27" s="7" t="str">
        <f>IF(MOD(MONTH(AA1),4)=0,AA25,"")</f>
        <v/>
      </c>
      <c r="AB27" s="7" t="str">
        <f>IF(MOD(MONTH(AB1),4)=0,AB25,"")</f>
        <v/>
      </c>
      <c r="AC27" s="7">
        <f>IF(MOD(MONTH(AC1),4)=0,AC25,"")</f>
        <v>524379492090</v>
      </c>
      <c r="AD27" s="7" t="str">
        <f>IF(MOD(MONTH(AD1),4)=0,AD25,"")</f>
        <v/>
      </c>
      <c r="AE27" s="7" t="str">
        <f>IF(MOD(MONTH(AE1),4)=0,AE25,"")</f>
        <v/>
      </c>
      <c r="AF27" s="7" t="str">
        <f>IF(MOD(MONTH(AF1),4)=0,AF25,"")</f>
        <v/>
      </c>
      <c r="AG27" s="7">
        <f>IF(MOD(MONTH(AG1),4)=0,AG25,"")</f>
        <v>552733062590</v>
      </c>
      <c r="AH27" s="7" t="str">
        <f>IF(MOD(MONTH(AH1),4)=0,AH25,"")</f>
        <v/>
      </c>
      <c r="AI27" s="7" t="str">
        <f>IF(MOD(MONTH(AI1),4)=0,AI25,"")</f>
        <v/>
      </c>
      <c r="AJ27" s="7" t="str">
        <f>IF(MOD(MONTH(AJ1),4)=0,AJ25,"")</f>
        <v/>
      </c>
      <c r="AK27" s="7">
        <f>IF(MOD(MONTH(AK1),4)=0,AK25,"")</f>
        <v>558706386600</v>
      </c>
      <c r="AL27" s="7" t="str">
        <f>IF(MOD(MONTH(AL1),4)=0,AL25,"")</f>
        <v/>
      </c>
      <c r="AM27" s="7" t="str">
        <f>IF(MOD(MONTH(AM1),4)=0,AM25,"")</f>
        <v/>
      </c>
      <c r="AN27" s="7" t="str">
        <f>IF(MOD(MONTH(AN1),4)=0,AN25,"")</f>
        <v/>
      </c>
      <c r="AO27" s="7">
        <f>IF(MOD(MONTH(AO1),4)=0,AO25,"")</f>
        <v>581850483280</v>
      </c>
      <c r="AP27" s="7" t="str">
        <f>IF(MOD(MONTH(AP1),4)=0,AP25,"")</f>
        <v/>
      </c>
      <c r="AQ27" s="7" t="str">
        <f>IF(MOD(MONTH(AQ1),4)=0,AQ25,"")</f>
        <v/>
      </c>
      <c r="AR27" s="7" t="str">
        <f>IF(MOD(MONTH(AR1),4)=0,AR25,"")</f>
        <v/>
      </c>
      <c r="AS27" s="7">
        <f>IF(MOD(MONTH(AS1),4)=0,AS25,"")</f>
        <v>600187794660</v>
      </c>
      <c r="AT27" s="7" t="str">
        <f>IF(MOD(MONTH(AT1),4)=0,AT25,"")</f>
        <v/>
      </c>
      <c r="AU27" s="7" t="str">
        <f>IF(MOD(MONTH(AU1),4)=0,AU25,"")</f>
        <v/>
      </c>
      <c r="AV27" s="7" t="str">
        <f>IF(MOD(MONTH(AV1),4)=0,AV25,"")</f>
        <v/>
      </c>
      <c r="AW27" s="7">
        <f>IF(MOD(MONTH(AW1),4)=0,AW25,"")</f>
        <v>616933348520</v>
      </c>
      <c r="AX27" s="7" t="str">
        <f>IF(MOD(MONTH(AX1),4)=0,AX25,"")</f>
        <v/>
      </c>
      <c r="AY27" s="7" t="str">
        <f>IF(MOD(MONTH(AY1),4)=0,AY25,"")</f>
        <v/>
      </c>
      <c r="AZ27" s="7" t="str">
        <f>IF(MOD(MONTH(AZ1),4)=0,AZ25,"")</f>
        <v/>
      </c>
      <c r="BA27" s="7">
        <f>IF(MOD(MONTH(BA1),4)=0,BA25,"")</f>
        <v>621158840250</v>
      </c>
      <c r="BB27" s="7" t="str">
        <f>IF(MOD(MONTH(BB1),4)=0,BB25,"")</f>
        <v/>
      </c>
      <c r="BC27" s="7" t="str">
        <f>IF(MOD(MONTH(BC1),4)=0,BC25,"")</f>
        <v/>
      </c>
      <c r="BD27" s="7" t="str">
        <f>IF(MOD(MONTH(BD1),4)=0,BD25,"")</f>
        <v/>
      </c>
      <c r="BE27" s="7">
        <f>IF(MOD(MONTH(BE1),4)=0,BE25,"")</f>
        <v>625461566520</v>
      </c>
      <c r="BF27" s="7" t="str">
        <f>IF(MOD(MONTH(BF1),4)=0,BF25,"")</f>
        <v/>
      </c>
      <c r="BG27" s="7" t="str">
        <f>IF(MOD(MONTH(BG1),4)=0,BG25,"")</f>
        <v/>
      </c>
      <c r="BH27" s="7" t="str">
        <f>IF(MOD(MONTH(BH1),4)=0,BH25,"")</f>
        <v/>
      </c>
      <c r="BI27" s="7">
        <f>IF(MOD(MONTH(BI1),4)=0,BI25,"")</f>
        <v>656094217900</v>
      </c>
      <c r="BJ27" s="7"/>
      <c r="BK27" s="7"/>
      <c r="BL27" s="7"/>
      <c r="BM27" s="7">
        <f>IF(MOD(MONTH(BM1),4)=0,BM25,"")</f>
        <v>678292443260</v>
      </c>
      <c r="BN27" s="7"/>
      <c r="BO27" s="7"/>
      <c r="BP27" s="7"/>
      <c r="BQ27" s="7">
        <f>IF(MOD(MONTH(BQ1),4)=0,BQ25,"")</f>
        <v>676655839900</v>
      </c>
      <c r="BR27" s="7" t="str">
        <f>IF(MOD(MONTH(BR1),4)=0,BR25,"")</f>
        <v/>
      </c>
      <c r="BS27" s="7" t="str">
        <f>IF(MOD(MONTH(BS1),4)=0,BS25,"")</f>
        <v/>
      </c>
      <c r="BT27" s="7" t="str">
        <f>IF(MOD(MONTH(BT1),4)=0,BT25,"")</f>
        <v/>
      </c>
      <c r="BU27" s="7">
        <f>IF(MOD(MONTH(BU1),4)=0,BU25,"")</f>
        <v>641578197330</v>
      </c>
      <c r="BV27" s="7" t="str">
        <f>IF(MOD(MONTH(BV1),4)=0,BV25,"")</f>
        <v/>
      </c>
      <c r="BW27" s="7" t="str">
        <f>IF(MOD(MONTH(BW1),4)=0,BW25,"")</f>
        <v/>
      </c>
      <c r="BX27" s="7" t="str">
        <f>IF(MOD(MONTH(BX1),4)=0,BX25,"")</f>
        <v/>
      </c>
      <c r="BY27" s="7">
        <f>IF(MOD(MONTH(BY1),4)=0,BY25,"")</f>
        <v>642507277656.93</v>
      </c>
      <c r="BZ27" s="7" t="str">
        <f>IF(MOD(MONTH(BZ1),4)=0,BZ25,"")</f>
        <v/>
      </c>
      <c r="CA27" s="7" t="str">
        <f>IF(MOD(MONTH(CA1),4)=0,CA25,"")</f>
        <v/>
      </c>
      <c r="CB27" s="7" t="str">
        <f>IF(MOD(MONTH(CB1),4)=0,CB25,"")</f>
        <v/>
      </c>
      <c r="CC27" s="7">
        <f>IF(MOD(MONTH(CC1),4)=0,CC25,"")</f>
        <v>656857642623.16</v>
      </c>
      <c r="CD27" s="7" t="str">
        <f>IF(MOD(MONTH(CD1),4)=0,CD25,"")</f>
        <v/>
      </c>
      <c r="CE27" s="7" t="str">
        <f>IF(MOD(MONTH(CE1),4)=0,CE25,"")</f>
        <v/>
      </c>
      <c r="CF27" s="7" t="str">
        <f>IF(MOD(MONTH(CF1),4)=0,CF25,"")</f>
        <v/>
      </c>
      <c r="CG27" s="7">
        <f>IF(MOD(MONTH(CG1),4)=0,CG25,"")</f>
        <v>674522742049.7</v>
      </c>
      <c r="CH27" s="7" t="str">
        <f>IF(MOD(MONTH(CH1),4)=0,CH25,"")</f>
        <v/>
      </c>
      <c r="CI27" s="7" t="str">
        <f>IF(MOD(MONTH(CI1),4)=0,CI25,"")</f>
        <v/>
      </c>
      <c r="CJ27" s="7" t="str">
        <f>IF(MOD(MONTH(CJ1),4)=0,CJ25,"")</f>
        <v/>
      </c>
      <c r="CK27" s="7">
        <f>IF(MOD(MONTH(CK1),4)=0,CK25,"")</f>
        <v>697243153828.91</v>
      </c>
      <c r="CL27" s="7" t="str">
        <f>IF(MOD(MONTH(CL1),4)=0,CL25,"")</f>
        <v/>
      </c>
      <c r="CM27" s="7" t="str">
        <f>IF(MOD(MONTH(CM1),4)=0,CM25,"")</f>
        <v/>
      </c>
      <c r="CN27" s="7" t="str">
        <f>IF(MOD(MONTH(CN1),4)=0,CN25,"")</f>
        <v/>
      </c>
      <c r="CO27" s="7">
        <f>IF(MOD(MONTH(CO1),4)=0,CO25,"")</f>
        <v>687788905643.78</v>
      </c>
      <c r="CP27" s="7" t="str">
        <f>IF(MOD(MONTH(CP1),4)=0,CP25,"")</f>
        <v/>
      </c>
      <c r="CQ27" s="7" t="str">
        <f>IF(MOD(MONTH(CQ1),4)=0,CQ25,"")</f>
        <v/>
      </c>
      <c r="CR27" s="7" t="str">
        <f>IF(MOD(MONTH(CR1),4)=0,CR25,"")</f>
        <v/>
      </c>
      <c r="CS27" s="7">
        <f>IF(MOD(MONTH(CS1),4)=0,CS25,"")</f>
        <v>709929574506.58</v>
      </c>
      <c r="CT27" s="7" t="str">
        <f>IF(MOD(MONTH(CT1),4)=0,CT25,"")</f>
        <v/>
      </c>
      <c r="CU27" s="7" t="str">
        <f>IF(MOD(MONTH(CU1),4)=0,CU25,"")</f>
        <v/>
      </c>
      <c r="CV27" s="7" t="str">
        <f>IF(MOD(MONTH(CV1),4)=0,CV25,"")</f>
        <v/>
      </c>
      <c r="CW27" s="7">
        <f>IF(MOD(MONTH(CW1),4)=0,CW25,"")</f>
        <v>718531431018.81</v>
      </c>
      <c r="CX27" s="7" t="str">
        <f>IF(MOD(MONTH(CX1),4)=0,CX25,"")</f>
        <v/>
      </c>
      <c r="CY27" s="7" t="str">
        <f>IF(MOD(MONTH(CY1),4)=0,CY25,"")</f>
        <v/>
      </c>
      <c r="CZ27" s="7" t="str">
        <f>IF(MOD(MONTH(CZ1),4)=0,CZ25,"")</f>
        <v/>
      </c>
      <c r="DA27" s="7">
        <f>IF(MOD(MONTH(DA1),4)=0,DA25,"")</f>
        <v>730531081798.36</v>
      </c>
      <c r="DB27" s="7" t="str">
        <f>IF(MOD(MONTH(DB1),4)=0,DB25,"")</f>
        <v/>
      </c>
      <c r="DC27" s="7" t="str">
        <f>IF(MOD(MONTH(DC1),4)=0,DC25,"")</f>
        <v/>
      </c>
      <c r="DD27" s="7" t="str">
        <f>IF(MOD(MONTH(DD1),4)=0,DD25,"")</f>
        <v/>
      </c>
      <c r="DE27" s="7">
        <f>IF(MOD(MONTH(DE1),4)=0,DE25,"")</f>
        <v>727254324382.05</v>
      </c>
      <c r="DF27" s="7" t="str">
        <f>IF(MOD(MONTH(DF1),4)=0,DF25,"")</f>
        <v/>
      </c>
      <c r="DG27" s="7" t="str">
        <f>IF(MOD(MONTH(DG1),4)=0,DG25,"")</f>
        <v/>
      </c>
      <c r="DH27" s="7" t="str">
        <f>IF(MOD(MONTH(DH1),4)=0,DH25,"")</f>
        <v/>
      </c>
      <c r="DI27" s="7">
        <f>IF(MOD(MONTH(DI1),4)=0,DI25,"")</f>
        <v>743632072331.91</v>
      </c>
      <c r="DJ27" s="7" t="str">
        <f>IF(MOD(MONTH(DJ1),4)=0,DJ25,"")</f>
        <v/>
      </c>
      <c r="DK27" s="7" t="str">
        <f>IF(MOD(MONTH(DK1),4)=0,DK25,"")</f>
        <v/>
      </c>
      <c r="DL27" s="7" t="str">
        <f>IF(MOD(MONTH(DL1),4)=0,DL25,"")</f>
        <v/>
      </c>
      <c r="DM27" s="7">
        <f>IF(MOD(MONTH(DM1),4)=0,DM25,"")</f>
        <v>770352095045.15</v>
      </c>
      <c r="DN27" s="7" t="str">
        <f>IF(MOD(MONTH(DN1),4)=0,DN25,"")</f>
        <v/>
      </c>
      <c r="DO27" s="7" t="str">
        <f>IF(MOD(MONTH(DO1),4)=0,DO25,"")</f>
        <v/>
      </c>
      <c r="DP27" s="7" t="str">
        <f>IF(MOD(MONTH(DP1),4)=0,DP25,"")</f>
        <v/>
      </c>
      <c r="DQ27" s="7">
        <f>IF(MOD(MONTH(DQ1),4)=0,DQ25,"")</f>
        <v>805348403466.57</v>
      </c>
      <c r="DR27" s="7" t="str">
        <f>IF(MOD(MONTH(DR1),4)=0,DR25,"")</f>
        <v/>
      </c>
      <c r="DS27" s="7" t="str">
        <f>IF(MOD(MONTH(DS1),4)=0,DS25,"")</f>
        <v/>
      </c>
      <c r="DT27" s="7" t="str">
        <f>IF(MOD(MONTH(DT1),4)=0,DT25,"")</f>
        <v/>
      </c>
      <c r="DU27" s="7">
        <f>IF(MOD(MONTH(DU1),4)=0,DU25,"")</f>
        <v>818616620128.93</v>
      </c>
      <c r="DV27" s="7" t="str">
        <f>IF(MOD(MONTH(DV1),4)=0,DV25,"")</f>
        <v/>
      </c>
      <c r="DW27" s="7" t="str">
        <f>IF(MOD(MONTH(DW1),4)=0,DW25,"")</f>
        <v/>
      </c>
      <c r="DX27" s="7" t="str">
        <f>IF(MOD(MONTH(DX1),4)=0,DX25,"")</f>
        <v/>
      </c>
      <c r="DY27" s="7">
        <f>IF(MOD(MONTH(DY1),4)=0,DY25,"")</f>
        <v>829157292075.07</v>
      </c>
      <c r="DZ27" s="7" t="str">
        <f>IF(MOD(MONTH(DZ1),4)=0,DZ25,"")</f>
        <v/>
      </c>
      <c r="EA27" s="7" t="str">
        <f>IF(MOD(MONTH(EA1),4)=0,EA25,"")</f>
        <v/>
      </c>
      <c r="EB27" s="7" t="str">
        <f>IF(MOD(MONTH(EB1),4)=0,EB25,"")</f>
        <v/>
      </c>
      <c r="EC27" s="7">
        <f>IF(MOD(MONTH(EC1),4)=0,EC25,"")</f>
        <v>905658589594.29</v>
      </c>
      <c r="ED27" s="7" t="str">
        <f>IF(MOD(MONTH(ED1),4)=0,ED25,"")</f>
        <v/>
      </c>
      <c r="EE27" s="7" t="str">
        <f>IF(MOD(MONTH(EE1),4)=0,EE25,"")</f>
        <v/>
      </c>
      <c r="EF27" s="7" t="str">
        <f>IF(MOD(MONTH(EF1),4)=0,EF25,"")</f>
        <v/>
      </c>
      <c r="EG27" s="7">
        <f>IF(MOD(MONTH(EG1),4)=0,EG25,"")</f>
        <v>879152902004.53</v>
      </c>
      <c r="EH27" s="7" t="str">
        <f>IF(MOD(MONTH(EH1),4)=0,EH25,"")</f>
        <v/>
      </c>
      <c r="EI27" s="7" t="str">
        <f>IF(MOD(MONTH(EI1),4)=0,EI25,"")</f>
        <v/>
      </c>
      <c r="EJ27" s="7" t="str">
        <f>IF(MOD(MONTH(EJ1),4)=0,EJ25,"")</f>
        <v/>
      </c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</row>
    <row ht="12.8" outlineLevel="0" r="28">
      <c r="L28" s="4" t="s">
        <v>322</v>
      </c>
      <c r="M28" s="7" t="str">
        <f>IF(M27&lt;&gt;"","",M25)</f>
        <v/>
      </c>
      <c r="N28" s="7">
        <f>IF(N27&lt;&gt;"","",N25)</f>
        <v>446441420420</v>
      </c>
      <c r="O28" s="7">
        <f>IF(O27&lt;&gt;"","",O25)</f>
        <v>449141580890</v>
      </c>
      <c r="P28" s="7">
        <f>IF(P27&lt;&gt;"","",P25)</f>
        <v>452335467170</v>
      </c>
      <c r="Q28" s="7" t="str">
        <f>IF(Q27&lt;&gt;"","",Q25)</f>
        <v/>
      </c>
      <c r="R28" s="7">
        <f>IF(R27&lt;&gt;"","",R25)</f>
        <v>471946938240</v>
      </c>
      <c r="S28" s="7">
        <f>IF(S27&lt;&gt;"","",S25)</f>
        <v>475421465690</v>
      </c>
      <c r="T28" s="7">
        <f>IF(T27&lt;&gt;"","",T25)</f>
        <v>476731676280</v>
      </c>
      <c r="U28" s="7" t="str">
        <f>IF(U27&lt;&gt;"","",U25)</f>
        <v/>
      </c>
      <c r="V28" s="7">
        <f>IF(V27&lt;&gt;"","",V25)</f>
        <v>496297966790</v>
      </c>
      <c r="W28" s="7">
        <f>IF(W27&lt;&gt;"","",W25)</f>
        <v>494372054210</v>
      </c>
      <c r="X28" s="7">
        <f>IF(X27&lt;&gt;"","",X25)</f>
        <v>492783537060</v>
      </c>
      <c r="Y28" s="7" t="str">
        <f>IF(Y27&lt;&gt;"","",Y25)</f>
        <v/>
      </c>
      <c r="Z28" s="7">
        <f>IF(Z27&lt;&gt;"","",Z25)</f>
        <v>508873193590</v>
      </c>
      <c r="AA28" s="7">
        <f>IF(AA27&lt;&gt;"","",AA25)</f>
        <v>512943084800</v>
      </c>
      <c r="AB28" s="7">
        <f>IF(AB27&lt;&gt;"","",AB25)</f>
        <v>525430035800</v>
      </c>
      <c r="AC28" s="7" t="str">
        <f>IF(AC27&lt;&gt;"","",AC25)</f>
        <v/>
      </c>
      <c r="AD28" s="7">
        <f>IF(AD27&lt;&gt;"","",AD25)</f>
        <v>531489671250</v>
      </c>
      <c r="AE28" s="7">
        <f>IF(AE27&lt;&gt;"","",AE25)</f>
        <v>541701420250</v>
      </c>
      <c r="AF28" s="7">
        <f>IF(AF27&lt;&gt;"","",AF25)</f>
        <v>554780239600</v>
      </c>
      <c r="AG28" s="7" t="str">
        <f>IF(AG27&lt;&gt;"","",AG25)</f>
        <v/>
      </c>
      <c r="AH28" s="7">
        <f>IF(AH27&lt;&gt;"","",AH25)</f>
        <v>552514911840</v>
      </c>
      <c r="AI28" s="7">
        <f>IF(AI27&lt;&gt;"","",AI25)</f>
        <v>560898744770</v>
      </c>
      <c r="AJ28" s="7">
        <f>IF(AJ27&lt;&gt;"","",AJ25)</f>
        <v>561010042890</v>
      </c>
      <c r="AK28" s="7" t="str">
        <f>IF(AK27&lt;&gt;"","",AK25)</f>
        <v/>
      </c>
      <c r="AL28" s="7">
        <f>IF(AL27&lt;&gt;"","",AL25)</f>
        <v>572686423130</v>
      </c>
      <c r="AM28" s="7">
        <f>IF(AM27&lt;&gt;"","",AM25)</f>
        <v>581874803950</v>
      </c>
      <c r="AN28" s="7">
        <f>IF(AN27&lt;&gt;"","",AN25)</f>
        <v>578126233280</v>
      </c>
      <c r="AO28" s="7" t="str">
        <f>IF(AO27&lt;&gt;"","",AO25)</f>
        <v/>
      </c>
      <c r="AP28" s="7">
        <f>IF(AP27&lt;&gt;"","",AP25)</f>
        <v>581448742990</v>
      </c>
      <c r="AQ28" s="7">
        <f>IF(AQ27&lt;&gt;"","",AQ25)</f>
        <v>581212664840</v>
      </c>
      <c r="AR28" s="7">
        <f>IF(AR27&lt;&gt;"","",AR25)</f>
        <v>595942496790</v>
      </c>
      <c r="AS28" s="7" t="str">
        <f>IF(AS27&lt;&gt;"","",AS25)</f>
        <v/>
      </c>
      <c r="AT28" s="7">
        <f>IF(AT27&lt;&gt;"","",AT25)</f>
        <v>601542625320</v>
      </c>
      <c r="AU28" s="7">
        <f>IF(AU27&lt;&gt;"","",AU25)</f>
        <v>606227873000</v>
      </c>
      <c r="AV28" s="7">
        <f>IF(AV27&lt;&gt;"","",AV25)</f>
        <v>605995749880</v>
      </c>
      <c r="AW28" s="7" t="str">
        <f>IF(AW27&lt;&gt;"","",AW25)</f>
        <v/>
      </c>
      <c r="AX28" s="7">
        <f>IF(AX27&lt;&gt;"","",AX25)</f>
        <v>625290407180</v>
      </c>
      <c r="AY28" s="7">
        <f>IF(AY27&lt;&gt;"","",AY25)</f>
        <v>615364719100</v>
      </c>
      <c r="AZ28" s="7">
        <f>IF(AZ27&lt;&gt;"","",AZ25)</f>
        <v>610572987500</v>
      </c>
      <c r="BA28" s="7" t="str">
        <f>IF(BA27&lt;&gt;"","",BA25)</f>
        <v/>
      </c>
      <c r="BB28" s="7">
        <f>IF(BB27&lt;&gt;"","",BB25)</f>
        <v>627565683430</v>
      </c>
      <c r="BC28" s="7">
        <f>IF(BC27&lt;&gt;"","",BC25)</f>
        <v>633920234100</v>
      </c>
      <c r="BD28" s="7">
        <f>IF(BD27&lt;&gt;"","",BD25)</f>
        <v>623321002930</v>
      </c>
      <c r="BE28" s="7" t="str">
        <f>IF(BE27&lt;&gt;"","",BE25)</f>
        <v/>
      </c>
      <c r="BF28" s="7">
        <f>IF(BF27&lt;&gt;"","",BF25)</f>
        <v>626794758550</v>
      </c>
      <c r="BG28" s="7">
        <f>IF(BG27&lt;&gt;"","",BG25)</f>
        <v>630576168910</v>
      </c>
      <c r="BH28" s="7">
        <f>IF(BH27&lt;&gt;"","",BH25)</f>
        <v>650280970720</v>
      </c>
      <c r="BI28" s="7" t="str">
        <f>IF(BI27&lt;&gt;"","",BI25)</f>
        <v/>
      </c>
      <c r="BJ28" s="7">
        <f>IF(BJ27&lt;&gt;"","",BJ25)</f>
        <v>664302538860</v>
      </c>
      <c r="BK28" s="7">
        <f>IF(BK27&lt;&gt;"","",BK25)</f>
        <v>671161346730</v>
      </c>
      <c r="BL28" s="7">
        <f>IF(BL27&lt;&gt;"","",BL25)</f>
        <v>680579569340</v>
      </c>
      <c r="BM28" s="7" t="str">
        <f>IF(BM27&lt;&gt;"","",BM25)</f>
        <v/>
      </c>
      <c r="BN28" s="7">
        <f>IF(BN27&lt;&gt;"","",BN25)</f>
        <v>674078866900</v>
      </c>
      <c r="BO28" s="7">
        <f>IF(BO27&lt;&gt;"","",BO25)</f>
        <v>673848828070</v>
      </c>
      <c r="BP28" s="7">
        <f>IF(BP27&lt;&gt;"","",BP25)</f>
        <v>672076723370</v>
      </c>
      <c r="BQ28" s="7" t="str">
        <f>IF(BQ27&lt;&gt;"","",BQ25)</f>
        <v/>
      </c>
      <c r="BR28" s="7">
        <f>IF(BR27&lt;&gt;"","",BR25)</f>
        <v>674487506670</v>
      </c>
      <c r="BS28" s="7">
        <f>IF(BS27&lt;&gt;"","",BS25)</f>
        <v>674306980130</v>
      </c>
      <c r="BT28" s="7">
        <f>IF(BT27&lt;&gt;"","",BT25)</f>
        <v>661618800010</v>
      </c>
      <c r="BU28" s="7" t="str">
        <f>IF(BU27&lt;&gt;"","",BU25)</f>
        <v/>
      </c>
      <c r="BV28" s="7">
        <f>IF(BV27&lt;&gt;"","",BV25)</f>
        <v>638747066926.32</v>
      </c>
      <c r="BW28" s="7">
        <f>IF(BW27&lt;&gt;"","",BW25)</f>
        <v>640327249269.81</v>
      </c>
      <c r="BX28" s="7">
        <f>IF(BX27&lt;&gt;"","",BX25)</f>
        <v>643351950487.61</v>
      </c>
      <c r="BY28" s="7" t="str">
        <f>IF(BY27&lt;&gt;"","",BY25)</f>
        <v/>
      </c>
      <c r="BZ28" s="7">
        <f>IF(BZ27&lt;&gt;"","",BZ25)</f>
        <v>651105707539.95</v>
      </c>
      <c r="CA28" s="7">
        <f>IF(CA27&lt;&gt;"","",CA25)</f>
        <v>653077026820.34</v>
      </c>
      <c r="CB28" s="7">
        <f>IF(CB27&lt;&gt;"","",CB25)</f>
        <v>657163414037.14</v>
      </c>
      <c r="CC28" s="7" t="str">
        <f>IF(CC27&lt;&gt;"","",CC25)</f>
        <v/>
      </c>
      <c r="CD28" s="7">
        <f>IF(CD27&lt;&gt;"","",CD25)</f>
        <v>663634527735.49</v>
      </c>
      <c r="CE28" s="7">
        <f>IF(CE27&lt;&gt;"","",CE25)</f>
        <v>663593321583.47</v>
      </c>
      <c r="CF28" s="7">
        <f>IF(CF27&lt;&gt;"","",CF25)</f>
        <v>662084375953.68</v>
      </c>
      <c r="CG28" s="7" t="str">
        <f>IF(CG27&lt;&gt;"","",CG25)</f>
        <v/>
      </c>
      <c r="CH28" s="7">
        <f>IF(CH27&lt;&gt;"","",CH25)</f>
        <v>693234369781.24</v>
      </c>
      <c r="CI28" s="7">
        <f>IF(CI27&lt;&gt;"","",CI25)</f>
        <v>692204807293.67</v>
      </c>
      <c r="CJ28" s="7">
        <f>IF(CJ27&lt;&gt;"","",CJ25)</f>
        <v>693683802117.94</v>
      </c>
      <c r="CK28" s="7" t="str">
        <f>IF(CK27&lt;&gt;"","",CK25)</f>
        <v/>
      </c>
      <c r="CL28" s="7">
        <f>IF(CL27&lt;&gt;"","",CL25)</f>
        <v>689667753164.94</v>
      </c>
      <c r="CM28" s="7">
        <f>IF(CM27&lt;&gt;"","",CM25)</f>
        <v>690361936973.11</v>
      </c>
      <c r="CN28" s="7">
        <f>IF(CN27&lt;&gt;"","",CN25)</f>
        <v>691546151921.13</v>
      </c>
      <c r="CO28" s="7" t="str">
        <f>IF(CO27&lt;&gt;"","",CO25)</f>
        <v/>
      </c>
      <c r="CP28" s="7">
        <f>IF(CP27&lt;&gt;"","",CP25)</f>
        <v>683134252347.87</v>
      </c>
      <c r="CQ28" s="7">
        <f>IF(CQ27&lt;&gt;"","",CQ25)</f>
        <v>725265345497.51</v>
      </c>
      <c r="CR28" s="7">
        <f>IF(CR27&lt;&gt;"","",CR25)</f>
        <v>722278652178.61</v>
      </c>
      <c r="CS28" s="7" t="str">
        <f>IF(CS27&lt;&gt;"","",CS25)</f>
        <v/>
      </c>
      <c r="CT28" s="7">
        <f>IF(CT27&lt;&gt;"","",CT25)</f>
        <v>715063804886.95</v>
      </c>
      <c r="CU28" s="7">
        <f>IF(CU27&lt;&gt;"","",CU25)</f>
        <v>714985428563.24</v>
      </c>
      <c r="CV28" s="7">
        <f>IF(CV27&lt;&gt;"","",CV25)</f>
        <v>715287678137.71</v>
      </c>
      <c r="CW28" s="7" t="str">
        <f>IF(CW27&lt;&gt;"","",CW25)</f>
        <v/>
      </c>
      <c r="CX28" s="7">
        <f>IF(CX27&lt;&gt;"","",CX25)</f>
        <v>720653415310.26</v>
      </c>
      <c r="CY28" s="7">
        <f>IF(CY27&lt;&gt;"","",CY25)</f>
        <v>723241295616.01</v>
      </c>
      <c r="CZ28" s="7">
        <f>IF(CZ27&lt;&gt;"","",CZ25)</f>
        <v>720289328583.77</v>
      </c>
      <c r="DA28" s="7" t="str">
        <f>IF(DA27&lt;&gt;"","",DA25)</f>
        <v/>
      </c>
      <c r="DB28" s="7">
        <f>IF(DB27&lt;&gt;"","",DB25)</f>
        <v>738360746916.24</v>
      </c>
      <c r="DC28" s="7">
        <f>IF(DC27&lt;&gt;"","",DC25)</f>
        <v>705607666145.77</v>
      </c>
      <c r="DD28" s="7">
        <f>IF(DD27&lt;&gt;"","",DD25)</f>
        <v>730386417447.33</v>
      </c>
      <c r="DE28" s="7" t="str">
        <f>IF(DE27&lt;&gt;"","",DE25)</f>
        <v/>
      </c>
      <c r="DF28" s="7">
        <f>IF(DF27&lt;&gt;"","",DF25)</f>
        <v>730408423191.12</v>
      </c>
      <c r="DG28" s="7">
        <f>IF(DG27&lt;&gt;"","",DG25)</f>
        <v>736510477809.51</v>
      </c>
      <c r="DH28" s="7">
        <f>IF(DH27&lt;&gt;"","",DH25)</f>
        <v>733215442669.78</v>
      </c>
      <c r="DI28" s="7" t="str">
        <f>IF(DI27&lt;&gt;"","",DI25)</f>
        <v/>
      </c>
      <c r="DJ28" s="7">
        <f>IF(DJ27&lt;&gt;"","",DJ25)</f>
        <v>757394890844.97</v>
      </c>
      <c r="DK28" s="7">
        <f>IF(DK27&lt;&gt;"","",DK25)</f>
        <v>756122758348.9</v>
      </c>
      <c r="DL28" s="7">
        <f>IF(DL27&lt;&gt;"","",DL25)</f>
        <v>769583573894.83</v>
      </c>
      <c r="DM28" s="7" t="str">
        <f>IF(DM27&lt;&gt;"","",DM25)</f>
        <v/>
      </c>
      <c r="DN28" s="7">
        <f>IF(DN27&lt;&gt;"","",DN25)</f>
        <v>776553924465.27</v>
      </c>
      <c r="DO28" s="7">
        <f>IF(DO27&lt;&gt;"","",DO25)</f>
        <v>785208777464.16</v>
      </c>
      <c r="DP28" s="7">
        <f>IF(DP27&lt;&gt;"","",DP25)</f>
        <v>780421394691.16</v>
      </c>
      <c r="DQ28" s="7" t="str">
        <f>IF(DQ27&lt;&gt;"","",DQ25)</f>
        <v/>
      </c>
      <c r="DR28" s="7">
        <f>IF(DR27&lt;&gt;"","",DR25)</f>
        <v>801963074242.02</v>
      </c>
      <c r="DS28" s="7">
        <f>IF(DS27&lt;&gt;"","",DS25)</f>
        <v>809268273586.65</v>
      </c>
      <c r="DT28" s="7">
        <f>IF(DT27&lt;&gt;"","",DT25)</f>
        <v>815511916469.15</v>
      </c>
      <c r="DU28" s="7" t="str">
        <f>IF(DU27&lt;&gt;"","",DU25)</f>
        <v/>
      </c>
      <c r="DV28" s="7">
        <f>IF(DV27&lt;&gt;"","",DV25)</f>
        <v>816956586024.51</v>
      </c>
      <c r="DW28" s="7">
        <f>IF(DW27&lt;&gt;"","",DW25)</f>
        <v>821147239599.62</v>
      </c>
      <c r="DX28" s="7">
        <f>IF(DX27&lt;&gt;"","",DX25)</f>
        <v>828506726849.09</v>
      </c>
      <c r="DY28" s="7" t="str">
        <f>IF(DY27&lt;&gt;"","",DY25)</f>
        <v/>
      </c>
      <c r="DZ28" s="7">
        <f>IF(DZ27&lt;&gt;"","",DZ25)</f>
        <v>833865270327.35</v>
      </c>
      <c r="EA28" s="7">
        <f>IF(EA27&lt;&gt;"","",EA25)</f>
        <v>838188618638.23</v>
      </c>
      <c r="EB28" s="7">
        <f>IF(EB27&lt;&gt;"","",EB25)</f>
        <v>840755831057.75</v>
      </c>
      <c r="EC28" s="7" t="str">
        <f>IF(EC27&lt;&gt;"","",EC25)</f>
        <v/>
      </c>
      <c r="ED28" s="7">
        <f>IF(ED27&lt;&gt;"","",ED25)</f>
        <v>920195885577.67</v>
      </c>
      <c r="EE28" s="7">
        <f>IF(EE27&lt;&gt;"","",EE25)</f>
        <v>916004723928.34</v>
      </c>
      <c r="EF28" s="7">
        <f>IF(EF27&lt;&gt;"","",EF25)</f>
        <v>908291786183.61</v>
      </c>
      <c r="EG28" s="7" t="str">
        <f>IF(EG27&lt;&gt;"","",EG25)</f>
        <v/>
      </c>
      <c r="EH28" s="7">
        <f>IF(EH27&lt;&gt;"","",EH25)</f>
        <v>852065904282.06</v>
      </c>
      <c r="EI28" s="7">
        <f>IF(EI27&lt;&gt;"","",EI25)</f>
        <v>826522886348.65</v>
      </c>
      <c r="EJ28" s="7">
        <f>IF(EJ27&lt;&gt;"","",EJ25)</f>
        <v>783036889559.28</v>
      </c>
      <c r="EK28" s="7">
        <f>IF(EK27&lt;&gt;"","",EK25)</f>
        <v>765111520022.84</v>
      </c>
      <c r="EL28" s="7">
        <f>IF(EL27&lt;&gt;"","",EL25)</f>
        <v>745354811454.1</v>
      </c>
      <c r="EM28" s="7">
        <f>IF(EM27&lt;&gt;"","",EM25)</f>
        <v>744982205773.73</v>
      </c>
      <c r="EN28" s="7">
        <f>IF(EN27&lt;&gt;"","",EN25)</f>
        <v>745458671407.73</v>
      </c>
      <c r="EO28" s="7">
        <f>IF(EO27&lt;&gt;"","",EO25)</f>
        <v>651943266031.15</v>
      </c>
      <c r="EP28" s="7">
        <f>IF(EP27&lt;&gt;"","",EP25)</f>
        <v>683651687965.2</v>
      </c>
      <c r="EQ28" s="7">
        <f>IF(EQ27&lt;&gt;"","",EQ25)</f>
        <v>694602185498.66</v>
      </c>
      <c r="ER28" s="7">
        <f>IF(ER27&lt;&gt;"","",ER25)</f>
        <v>719391932795.74</v>
      </c>
      <c r="ES28" s="7">
        <f>IF(ES27&lt;&gt;"","",ES25)</f>
        <v>763023603538.79</v>
      </c>
      <c r="ET28" s="7">
        <f>IF(ET27&lt;&gt;"","",ET25)</f>
        <v>813766848581.43</v>
      </c>
      <c r="EU28" s="7">
        <f>IF(EU27&lt;&gt;"","",EU25)</f>
        <v>846895188520.37</v>
      </c>
      <c r="EV28" s="7">
        <f>IF(EV27&lt;&gt;"","",EV25)</f>
        <v>905353324081.82</v>
      </c>
      <c r="EW28" s="7">
        <f>IF(EW27&lt;&gt;"","",EW25)</f>
        <v>938730994036.87</v>
      </c>
      <c r="EX28" s="7">
        <f>IF(EX27&lt;&gt;"","",EX25)</f>
        <v>971363203328.77</v>
      </c>
    </row>
    <row ht="12.8" outlineLevel="0" r="29">
      <c r="B29" s="18" t="s">
        <v>323</v>
      </c>
      <c r="C29" s="18"/>
      <c r="M29" s="7" t="str">
        <f>IF(MAX($B$1:$AAA$1)=M1,M25,"")</f>
        <v/>
      </c>
      <c r="N29" s="7" t="str">
        <f>IF(MAX($B$1:$AAA$1)=N1,N25,"")</f>
        <v/>
      </c>
      <c r="O29" s="7" t="str">
        <f>IF(MAX($B$1:$AAA$1)=O1,O25,"")</f>
        <v/>
      </c>
      <c r="P29" s="7" t="str">
        <f>IF(MAX($B$1:$AAA$1)=P1,P25,"")</f>
        <v/>
      </c>
      <c r="Q29" s="7" t="str">
        <f>IF(MAX($B$1:$AAA$1)=Q1,Q25,"")</f>
        <v/>
      </c>
      <c r="R29" s="7" t="str">
        <f>IF(MAX($B$1:$AAA$1)=R1,R25,"")</f>
        <v/>
      </c>
      <c r="S29" s="7" t="str">
        <f>IF(MAX($B$1:$AAA$1)=S1,S25,"")</f>
        <v/>
      </c>
      <c r="T29" s="7" t="str">
        <f>IF(MAX($B$1:$AAA$1)=T1,T25,"")</f>
        <v/>
      </c>
      <c r="U29" s="7" t="str">
        <f>IF(MAX($B$1:$AAA$1)=U1,U25,"")</f>
        <v/>
      </c>
      <c r="V29" s="7" t="str">
        <f>IF(MAX($B$1:$AAA$1)=V1,V25,"")</f>
        <v/>
      </c>
      <c r="W29" s="7" t="str">
        <f>IF(MAX($B$1:$AAA$1)=W1,W25,"")</f>
        <v/>
      </c>
      <c r="X29" s="7" t="str">
        <f>IF(MAX($B$1:$AAA$1)=X1,X25,"")</f>
        <v/>
      </c>
      <c r="Y29" s="7" t="str">
        <f>IF(MAX($B$1:$AAA$1)=Y1,Y25,"")</f>
        <v/>
      </c>
      <c r="Z29" s="7" t="str">
        <f>IF(MAX($B$1:$AAA$1)=Z1,Z25,"")</f>
        <v/>
      </c>
      <c r="AA29" s="7" t="str">
        <f>IF(MAX($B$1:$AAA$1)=AA1,AA25,"")</f>
        <v/>
      </c>
      <c r="AB29" s="7" t="str">
        <f>IF(MAX($B$1:$AAA$1)=AB1,AB25,"")</f>
        <v/>
      </c>
      <c r="AC29" s="7" t="str">
        <f>IF(MAX($B$1:$AAA$1)=AC1,AC25,"")</f>
        <v/>
      </c>
      <c r="AD29" s="7" t="str">
        <f>IF(MAX($B$1:$AAA$1)=AD1,AD25,"")</f>
        <v/>
      </c>
      <c r="AE29" s="7" t="str">
        <f>IF(MAX($B$1:$AAA$1)=AE1,AE25,"")</f>
        <v/>
      </c>
      <c r="AF29" s="7" t="str">
        <f>IF(MAX($B$1:$AAA$1)=AF1,AF25,"")</f>
        <v/>
      </c>
      <c r="AG29" s="7" t="str">
        <f>IF(MAX($B$1:$AAA$1)=AG1,AG25,"")</f>
        <v/>
      </c>
      <c r="AH29" s="7" t="str">
        <f>IF(MAX($B$1:$AAA$1)=AH1,AH25,"")</f>
        <v/>
      </c>
      <c r="AI29" s="7" t="str">
        <f>IF(MAX($B$1:$AAA$1)=AI1,AI25,"")</f>
        <v/>
      </c>
      <c r="AJ29" s="7" t="str">
        <f>IF(MAX($B$1:$AAA$1)=AJ1,AJ25,"")</f>
        <v/>
      </c>
      <c r="AK29" s="7" t="str">
        <f>IF(MAX($B$1:$AAA$1)=AK1,AK25,"")</f>
        <v/>
      </c>
      <c r="AL29" s="7" t="str">
        <f>IF(MAX($B$1:$AAA$1)=AL1,AL25,"")</f>
        <v/>
      </c>
      <c r="AM29" s="7" t="str">
        <f>IF(MAX($B$1:$AAA$1)=AM1,AM25,"")</f>
        <v/>
      </c>
      <c r="AN29" s="7" t="str">
        <f>IF(MAX($B$1:$AAA$1)=AN1,AN25,"")</f>
        <v/>
      </c>
      <c r="AO29" s="7" t="str">
        <f>IF(MAX($B$1:$AAA$1)=AO1,AO25,"")</f>
        <v/>
      </c>
      <c r="AP29" s="7" t="str">
        <f>IF(MAX($B$1:$AAA$1)=AP1,AP25,"")</f>
        <v/>
      </c>
      <c r="AQ29" s="7" t="str">
        <f>IF(MAX($B$1:$AAA$1)=AQ1,AQ25,"")</f>
        <v/>
      </c>
      <c r="AR29" s="7" t="str">
        <f>IF(MAX($B$1:$AAA$1)=AR1,AR25,"")</f>
        <v/>
      </c>
      <c r="AS29" s="7" t="str">
        <f>IF(MAX($B$1:$AAA$1)=AS1,AS25,"")</f>
        <v/>
      </c>
      <c r="AT29" s="7" t="str">
        <f>IF(MAX($B$1:$AAA$1)=AT1,AT25,"")</f>
        <v/>
      </c>
      <c r="AU29" s="7" t="str">
        <f>IF(MAX($B$1:$AAA$1)=AU1,AU25,"")</f>
        <v/>
      </c>
      <c r="AV29" s="7" t="str">
        <f>IF(MAX($B$1:$AAA$1)=AV1,AV25,"")</f>
        <v/>
      </c>
      <c r="AW29" s="7" t="str">
        <f>IF(MAX($B$1:$AAA$1)=AW1,AW25,"")</f>
        <v/>
      </c>
      <c r="AX29" s="7" t="str">
        <f>IF(MAX($B$1:$AAA$1)=AX1,AX25,"")</f>
        <v/>
      </c>
      <c r="AY29" s="7" t="str">
        <f>IF(MAX($B$1:$AAA$1)=AY1,AY25,"")</f>
        <v/>
      </c>
      <c r="AZ29" s="7" t="str">
        <f>IF(MAX($B$1:$AAA$1)=AZ1,AZ25,"")</f>
        <v/>
      </c>
      <c r="BA29" s="7" t="str">
        <f>IF(MAX($B$1:$AAA$1)=BA1,BA25,"")</f>
        <v/>
      </c>
      <c r="BB29" s="7" t="str">
        <f>IF(MAX($B$1:$AAA$1)=BB1,BB25,"")</f>
        <v/>
      </c>
      <c r="BC29" s="7" t="str">
        <f>IF(MAX($B$1:$AAA$1)=BC1,BC25,"")</f>
        <v/>
      </c>
      <c r="BD29" s="7" t="str">
        <f>IF(MAX($B$1:$AAA$1)=BD1,BD25,"")</f>
        <v/>
      </c>
      <c r="BE29" s="7" t="str">
        <f>IF(MAX($B$1:$AAA$1)=BE1,BE25,"")</f>
        <v/>
      </c>
      <c r="BF29" s="7" t="str">
        <f>IF(MAX($B$1:$AAA$1)=BF1,BF25,"")</f>
        <v/>
      </c>
      <c r="BG29" s="7" t="str">
        <f>IF(MAX($B$1:$AAA$1)=BG1,BG25,"")</f>
        <v/>
      </c>
      <c r="BH29" s="7" t="str">
        <f>IF(MAX($B$1:$AAA$1)=BH1,BH25,"")</f>
        <v/>
      </c>
      <c r="BI29" s="7" t="str">
        <f>IF(MAX($B$1:$AAA$1)=BI1,BI25,"")</f>
        <v/>
      </c>
      <c r="BJ29" s="7" t="str">
        <f>IF(MAX($B$1:$AAA$1)=BJ1,BJ25,"")</f>
        <v/>
      </c>
      <c r="BK29" s="7" t="str">
        <f>IF(MAX($B$1:$AAA$1)=BK1,BK25,"")</f>
        <v/>
      </c>
      <c r="BL29" s="7" t="str">
        <f>IF(MAX($B$1:$AAA$1)=BL1,BL25,"")</f>
        <v/>
      </c>
      <c r="BM29" s="7" t="str">
        <f>IF(MAX($B$1:$AAA$1)=BM1,BM25,"")</f>
        <v/>
      </c>
      <c r="BN29" s="7" t="str">
        <f>IF(MAX($B$1:$AAA$1)=BN1,BN25,"")</f>
        <v/>
      </c>
      <c r="BO29" s="7" t="str">
        <f>IF(MAX($B$1:$AAA$1)=BO1,BO25,"")</f>
        <v/>
      </c>
      <c r="BP29" s="7" t="str">
        <f>IF(MAX($B$1:$AAA$1)=BP1,BP25,"")</f>
        <v/>
      </c>
      <c r="BQ29" s="7" t="str">
        <f>IF(MAX($B$1:$AAA$1)=BQ1,BQ25,"")</f>
        <v/>
      </c>
      <c r="BR29" s="7" t="str">
        <f>IF(MAX($B$1:$AAA$1)=BR1,BR25,"")</f>
        <v/>
      </c>
      <c r="BS29" s="7" t="str">
        <f>IF(MAX($B$1:$AAA$1)=BS1,BS25,"")</f>
        <v/>
      </c>
      <c r="BT29" s="7" t="str">
        <f>IF(MAX($B$1:$AAA$1)=BT1,BT25,"")</f>
        <v/>
      </c>
      <c r="BU29" s="7" t="str">
        <f>IF(MAX($B$1:$AAA$1)=BU1,BU25,"")</f>
        <v/>
      </c>
      <c r="BV29" s="7" t="str">
        <f>IF(MAX($B$1:$AAA$1)=BV1,BV25,"")</f>
        <v/>
      </c>
      <c r="BW29" s="7" t="str">
        <f>IF(MAX($B$1:$AAA$1)=BW1,BW25,"")</f>
        <v/>
      </c>
      <c r="BX29" s="7" t="str">
        <f>IF(MAX($B$1:$AAA$1)=BX1,BX25,"")</f>
        <v/>
      </c>
      <c r="BY29" s="7" t="str">
        <f>IF(MAX($B$1:$AAA$1)=BY1,BY25,"")</f>
        <v/>
      </c>
      <c r="BZ29" s="7" t="str">
        <f>IF(MAX($B$1:$AAA$1)=BZ1,BZ25,"")</f>
        <v/>
      </c>
      <c r="CA29" s="7" t="str">
        <f>IF(MAX($B$1:$AAA$1)=CA1,CA25,"")</f>
        <v/>
      </c>
      <c r="CB29" s="7" t="str">
        <f>IF(MAX($B$1:$AAA$1)=CB1,CB25,"")</f>
        <v/>
      </c>
      <c r="CC29" s="7" t="str">
        <f>IF(MAX($B$1:$AAA$1)=CC1,CC25,"")</f>
        <v/>
      </c>
      <c r="CD29" s="7" t="str">
        <f>IF(MAX($B$1:$AAA$1)=CD1,CD25,"")</f>
        <v/>
      </c>
      <c r="CE29" s="7" t="str">
        <f>IF(MAX($B$1:$AAA$1)=CE1,CE25,"")</f>
        <v/>
      </c>
      <c r="CF29" s="7" t="str">
        <f>IF(MAX($B$1:$AAA$1)=CF1,CF25,"")</f>
        <v/>
      </c>
      <c r="CG29" s="7" t="str">
        <f>IF(MAX($B$1:$AAA$1)=CG1,CG25,"")</f>
        <v/>
      </c>
      <c r="CH29" s="7" t="str">
        <f>IF(MAX($B$1:$AAA$1)=CH1,CH25,"")</f>
        <v/>
      </c>
      <c r="CI29" s="7" t="str">
        <f>IF(MAX($B$1:$AAA$1)=CI1,CI25,"")</f>
        <v/>
      </c>
      <c r="CJ29" s="7" t="str">
        <f>IF(MAX($B$1:$AAA$1)=CJ1,CJ25,"")</f>
        <v/>
      </c>
      <c r="CK29" s="7" t="str">
        <f>IF(MAX($B$1:$AAA$1)=CK1,CK25,"")</f>
        <v/>
      </c>
      <c r="CL29" s="7" t="str">
        <f>IF(MAX($B$1:$AAA$1)=CL1,CL25,"")</f>
        <v/>
      </c>
      <c r="CM29" s="7" t="str">
        <f>IF(MAX($B$1:$AAA$1)=CM1,CM25,"")</f>
        <v/>
      </c>
      <c r="CN29" s="7" t="str">
        <f>IF(MAX($B$1:$AAA$1)=CN1,CN25,"")</f>
        <v/>
      </c>
      <c r="CO29" s="7" t="str">
        <f>IF(MAX($B$1:$AAA$1)=CO1,CO25,"")</f>
        <v/>
      </c>
      <c r="CP29" s="7" t="str">
        <f>IF(MAX($B$1:$AAA$1)=CP1,CP25,"")</f>
        <v/>
      </c>
      <c r="CQ29" s="7" t="str">
        <f>IF(MAX($B$1:$AAA$1)=CQ1,CQ25,"")</f>
        <v/>
      </c>
      <c r="CR29" s="7" t="str">
        <f>IF(MAX($B$1:$AAA$1)=CR1,CR25,"")</f>
        <v/>
      </c>
      <c r="CS29" s="7" t="str">
        <f>IF(MAX($B$1:$AAA$1)=CS1,CS25,"")</f>
        <v/>
      </c>
      <c r="CT29" s="7" t="str">
        <f>IF(MAX($B$1:$AAA$1)=CT1,CT25,"")</f>
        <v/>
      </c>
      <c r="CU29" s="7" t="str">
        <f>IF(MAX($B$1:$AAA$1)=CU1,CU25,"")</f>
        <v/>
      </c>
      <c r="CV29" s="7" t="str">
        <f>IF(MAX($B$1:$AAA$1)=CV1,CV25,"")</f>
        <v/>
      </c>
      <c r="CW29" s="7" t="str">
        <f>IF(MAX($B$1:$AAA$1)=CW1,CW25,"")</f>
        <v/>
      </c>
      <c r="CX29" s="7" t="str">
        <f>IF(MAX($B$1:$AAA$1)=CX1,CX25,"")</f>
        <v/>
      </c>
      <c r="CY29" s="7" t="str">
        <f>IF(MAX($B$1:$AAA$1)=CY1,CY25,"")</f>
        <v/>
      </c>
      <c r="CZ29" s="7" t="str">
        <f>IF(MAX($B$1:$AAA$1)=CZ1,CZ25,"")</f>
        <v/>
      </c>
      <c r="DA29" s="7" t="str">
        <f>IF(MAX($B$1:$AAA$1)=DA1,DA25,"")</f>
        <v/>
      </c>
      <c r="DB29" s="7" t="str">
        <f>IF(MAX($B$1:$AAA$1)=DB1,DB25,"")</f>
        <v/>
      </c>
      <c r="DC29" s="7" t="str">
        <f>IF(MAX($B$1:$AAA$1)=DC1,DC25,"")</f>
        <v/>
      </c>
      <c r="DD29" s="7" t="str">
        <f>IF(MAX($B$1:$AAA$1)=DD1,DD25,"")</f>
        <v/>
      </c>
      <c r="DE29" s="7" t="str">
        <f>IF(MAX($B$1:$AAA$1)=DE1,DE25,"")</f>
        <v/>
      </c>
      <c r="DF29" s="7" t="str">
        <f>IF(MAX($B$1:$AAA$1)=DF1,DF25,"")</f>
        <v/>
      </c>
      <c r="DG29" s="7" t="str">
        <f>IF(MAX($B$1:$AAA$1)=DG1,DG25,"")</f>
        <v/>
      </c>
      <c r="DH29" s="7" t="str">
        <f>IF(MAX($B$1:$AAA$1)=DH1,DH25,"")</f>
        <v/>
      </c>
      <c r="DI29" s="7" t="str">
        <f>IF(MAX($B$1:$AAA$1)=DI1,DI25,"")</f>
        <v/>
      </c>
      <c r="DJ29" s="7" t="str">
        <f>IF(MAX($B$1:$AAA$1)=DJ1,DJ25,"")</f>
        <v/>
      </c>
      <c r="DK29" s="7" t="str">
        <f>IF(MAX($B$1:$AAA$1)=DK1,DK25,"")</f>
        <v/>
      </c>
      <c r="DL29" s="7" t="str">
        <f>IF(MAX($B$1:$AAA$1)=DL1,DL25,"")</f>
        <v/>
      </c>
      <c r="DM29" s="7" t="str">
        <f>IF(MAX($B$1:$AAA$1)=DM1,DM25,"")</f>
        <v/>
      </c>
      <c r="DN29" s="7" t="str">
        <f>IF(MAX($B$1:$AAA$1)=DN1,DN25,"")</f>
        <v/>
      </c>
      <c r="DO29" s="7" t="str">
        <f>IF(MAX($B$1:$AAA$1)=DO1,DO25,"")</f>
        <v/>
      </c>
      <c r="DP29" s="7" t="str">
        <f>IF(MAX($B$1:$AAA$1)=DP1,DP25,"")</f>
        <v/>
      </c>
      <c r="DQ29" s="7" t="str">
        <f>IF(MAX($B$1:$AAA$1)=DQ1,DQ25,"")</f>
        <v/>
      </c>
      <c r="DR29" s="7" t="str">
        <f>IF(MAX($B$1:$AAA$1)=DR1,DR25,"")</f>
        <v/>
      </c>
      <c r="DS29" s="7" t="str">
        <f>IF(MAX($B$1:$AAA$1)=DS1,DS25,"")</f>
        <v/>
      </c>
      <c r="DT29" s="7" t="str">
        <f>IF(MAX($B$1:$AAA$1)=DT1,DT25,"")</f>
        <v/>
      </c>
      <c r="DU29" s="7" t="str">
        <f>IF(MAX($B$1:$AAA$1)=DU1,DU25,"")</f>
        <v/>
      </c>
      <c r="DV29" s="7" t="str">
        <f>IF(MAX($B$1:$AAA$1)=DV1,DV25,"")</f>
        <v/>
      </c>
      <c r="DW29" s="7" t="str">
        <f>IF(MAX($B$1:$AAA$1)=DW1,DW25,"")</f>
        <v/>
      </c>
      <c r="DX29" s="7" t="str">
        <f>IF(MAX($B$1:$AAA$1)=DX1,DX25,"")</f>
        <v/>
      </c>
      <c r="DY29" s="7" t="str">
        <f>IF(MAX($B$1:$AAA$1)=DY1,DY25,"")</f>
        <v/>
      </c>
      <c r="DZ29" s="7" t="str">
        <f>IF(MAX($B$1:$AAA$1)=DZ1,DZ25,"")</f>
        <v/>
      </c>
      <c r="EA29" s="7" t="str">
        <f>IF(MAX($B$1:$AAA$1)=EA1,EA25,"")</f>
        <v/>
      </c>
      <c r="EB29" s="7" t="str">
        <f>IF(MAX($B$1:$AAA$1)=EB1,EB25,"")</f>
        <v/>
      </c>
      <c r="EC29" s="7" t="str">
        <f>IF(MAX($B$1:$AAA$1)=EC1,EC25,"")</f>
        <v/>
      </c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</row>
    <row ht="12.8" outlineLevel="0" r="30">
      <c r="B30" s="19" t="e">
        <f>'file:///C:/Users/rubem/OneDrive%20-%20Secretaria%20do%20Tesouro%20Nacional/GEINF/Trabalho/Relatorio%20Resumido/Trabalho/Anexo%203%20RCL.xlsm'#$$mes_atual</f>
        <v>#NAME?</v>
      </c>
      <c r="C30" s="20" t="e">
        <f>DATEVALUE(B30)</f>
        <v>#NAME?</v>
      </c>
      <c r="L30" s="4" t="s">
        <v>324</v>
      </c>
      <c r="M30" s="7">
        <f>SUM(B2:M2)</f>
        <v>775406758.51</v>
      </c>
      <c r="N30" s="7">
        <f>SUM(C2:N2)</f>
        <v>785246170.17</v>
      </c>
      <c r="O30" s="7">
        <f>SUM(D2:O2)</f>
        <v>792868232.03</v>
      </c>
      <c r="P30" s="7">
        <f>SUM(E2:P2)</f>
        <v>800165105.07</v>
      </c>
      <c r="Q30" s="7">
        <f>SUM(F2:Q2)</f>
        <v>815297923.64</v>
      </c>
      <c r="R30" s="7">
        <f>SUM(G2:R2)</f>
        <v>824222140.23</v>
      </c>
      <c r="S30" s="7">
        <f>SUM(H2:S2)</f>
        <v>829414009.2</v>
      </c>
      <c r="T30" s="7">
        <f>SUM(I2:T2)</f>
        <v>838101902.77</v>
      </c>
      <c r="U30" s="7">
        <f>SUM(J2:U2)</f>
        <v>846558791.73</v>
      </c>
      <c r="V30" s="7">
        <f>SUM(K2:V2)</f>
        <v>867261703.24</v>
      </c>
      <c r="W30" s="7">
        <f>SUM(L2:W2)</f>
        <v>870747722.73</v>
      </c>
      <c r="X30" s="7">
        <f>SUM(M2:X2)</f>
        <v>871126363.33</v>
      </c>
      <c r="Y30" s="7">
        <f>SUM(N2:Y2)</f>
        <v>890137032.95</v>
      </c>
      <c r="Z30" s="7">
        <f>SUM(O2:Z2)</f>
        <v>909890604.58</v>
      </c>
      <c r="AA30" s="7">
        <f>SUM(P2:AA2)</f>
        <v>920528561.21</v>
      </c>
      <c r="AB30" s="7">
        <f>SUM(Q2:AB2)</f>
        <v>931614331.33</v>
      </c>
      <c r="AC30" s="7">
        <f>SUM(R2:AC2)</f>
        <v>943045069.15</v>
      </c>
      <c r="AD30" s="7">
        <f>SUM(S2:AD2)</f>
        <v>955135293.19</v>
      </c>
      <c r="AE30" s="7">
        <f>SUM(T2:AE2)</f>
        <v>972491009.66</v>
      </c>
      <c r="AF30" s="7">
        <f>SUM(U2:AF2)</f>
        <v>993017537.93</v>
      </c>
      <c r="AG30" s="7">
        <f>SUM(V2:AG2)</f>
        <v>998468616.44</v>
      </c>
      <c r="AH30" s="7">
        <f>SUM(W2:AH2)</f>
        <v>1005045125.8</v>
      </c>
      <c r="AI30" s="7">
        <f>SUM(X2:AI2)</f>
        <v>1020424660.45</v>
      </c>
      <c r="AJ30" s="7">
        <f>SUM(Y2:AJ2)</f>
        <v>1026943003.51</v>
      </c>
      <c r="AK30" s="7">
        <f>SUM(Z2:AK2)</f>
        <v>1029613467.82</v>
      </c>
      <c r="AL30" s="7">
        <f>SUM(AA2:AL2)</f>
        <v>1045603698.62</v>
      </c>
      <c r="AM30" s="7">
        <f>SUM(AB2:AM2)</f>
        <v>1056642587.63</v>
      </c>
      <c r="AN30" s="7">
        <f>SUM(AC2:AN2)</f>
        <v>1065618601.52</v>
      </c>
      <c r="AO30" s="7">
        <f>SUM(AD2:AO2)</f>
        <v>1073222419.71</v>
      </c>
      <c r="AP30" s="7">
        <f>SUM(AE2:AP2)</f>
        <v>1077132773</v>
      </c>
      <c r="AQ30" s="7">
        <f>SUM(AF2:AQ2)</f>
        <v>1079840576.64</v>
      </c>
      <c r="AR30" s="7">
        <f>SUM(AG2:AR2)</f>
        <v>1099388483.18</v>
      </c>
      <c r="AS30" s="7">
        <f>SUM(AH2:AS2)</f>
        <v>1106150304.97</v>
      </c>
      <c r="AT30" s="7">
        <f>SUM(AI2:AT2)</f>
        <v>1109269743.65</v>
      </c>
      <c r="AU30" s="7">
        <f>SUM(AJ2:AU2)</f>
        <v>1113664548.32</v>
      </c>
      <c r="AV30" s="7">
        <f>SUM(AK2:AV2)</f>
        <v>1119658247.9</v>
      </c>
      <c r="AW30" s="7">
        <f>SUM(AL2:AW2)</f>
        <v>1134717334.75</v>
      </c>
      <c r="AX30" s="7">
        <f>SUM(AM2:AX2)</f>
        <v>1146718612.9</v>
      </c>
      <c r="AY30" s="7">
        <f>SUM(AN2:AY2)</f>
        <v>1146141920.16</v>
      </c>
      <c r="AZ30" s="7">
        <f>SUM(AO2:AZ2)</f>
        <v>1142189285.7</v>
      </c>
      <c r="BA30" s="7">
        <f>SUM(AP2:BA2)</f>
        <v>1149238068.3</v>
      </c>
      <c r="BB30" s="7">
        <f>SUM(AQ2:BB2)</f>
        <v>1159283615.84</v>
      </c>
      <c r="BC30" s="7">
        <f>SUM(AR2:BC2)</f>
        <v>1168926531.12</v>
      </c>
      <c r="BD30" s="7">
        <f>SUM(AS2:BD2)</f>
        <v>1158091175.78</v>
      </c>
      <c r="BE30" s="7">
        <f>SUM(AT2:BE2)</f>
        <v>1163853347.98</v>
      </c>
      <c r="BF30" s="7">
        <f>SUM(AU2:BF2)</f>
        <v>1169533637.25</v>
      </c>
      <c r="BG30" s="7">
        <f>SUM(AV2:BG2)</f>
        <v>1176617010.76</v>
      </c>
      <c r="BH30" s="7">
        <f>SUM(AW2:BH2)</f>
        <v>1198199418.02</v>
      </c>
      <c r="BI30" s="7">
        <f>SUM(AX2:BI2)</f>
        <v>1219645809.02</v>
      </c>
      <c r="BJ30" s="7">
        <f>SUM(AY2:BJ2)</f>
        <v>1225498923.09</v>
      </c>
      <c r="BK30" s="7">
        <f>SUM(AZ2:BK2)</f>
        <v>1235536258.73</v>
      </c>
      <c r="BL30" s="7">
        <f>SUM(BA2:BL2)</f>
        <v>1247582639.3</v>
      </c>
      <c r="BM30" s="7">
        <f>SUM(BB2:BM2)</f>
        <v>1252871131.82</v>
      </c>
      <c r="BN30" s="7">
        <f>SUM(BC2:BN2)</f>
        <v>1251732956.5</v>
      </c>
      <c r="BO30" s="7">
        <f>SUM(BD2:BO2)</f>
        <v>1253709514.83</v>
      </c>
      <c r="BP30" s="7">
        <f>SUM(BE2:BP2)</f>
        <v>1255150254.78</v>
      </c>
      <c r="BQ30" s="7">
        <f>SUM(BF2:BQ2)</f>
        <v>1263252770.97</v>
      </c>
      <c r="BR30" s="7">
        <f>SUM(BG2:BR2)</f>
        <v>1264487579.74</v>
      </c>
      <c r="BS30" s="7">
        <f>SUM(BH2:BS2)</f>
        <v>1267741452.94</v>
      </c>
      <c r="BT30" s="7">
        <f>SUM(BI2:BT2)</f>
        <v>1259161616.81</v>
      </c>
      <c r="BU30" s="7">
        <f>SUM(BJ2:BU2)</f>
        <v>1243280132.16</v>
      </c>
      <c r="BV30" s="7">
        <f>SUM(BK2:BV2)</f>
        <v>1242868950.083</v>
      </c>
      <c r="BW30" s="7">
        <f>SUM(BL2:BW2)</f>
        <v>1244925458.628</v>
      </c>
      <c r="BX30" s="7">
        <f>SUM(BM2:BX2)</f>
        <v>1251078685.715</v>
      </c>
      <c r="BY30" s="7">
        <f>SUM(BN2:BY2)</f>
        <v>1254666230.121</v>
      </c>
      <c r="BZ30" s="7">
        <f>SUM(BO2:BZ2)</f>
        <v>1264581812.499</v>
      </c>
      <c r="CA30" s="7">
        <f>SUM(BP2:CA2)</f>
        <v>1269445963.864</v>
      </c>
      <c r="CB30" s="7">
        <f>SUM(BQ2:CB2)</f>
        <v>1276483560.222</v>
      </c>
      <c r="CC30" s="7">
        <f>SUM(BR2:CC2)</f>
        <v>1275465005.512</v>
      </c>
      <c r="CD30" s="7">
        <f>SUM(BS2:CD2)</f>
        <v>1282024520.383</v>
      </c>
      <c r="CE30" s="7">
        <f>SUM(BT2:CE2)</f>
        <v>1283597522.231</v>
      </c>
      <c r="CF30" s="7">
        <f>SUM(BU2:CF2)</f>
        <v>1280068971.968</v>
      </c>
      <c r="CG30" s="7">
        <f>SUM(BV2:CG2)</f>
        <v>1282514801.615</v>
      </c>
      <c r="CH30" s="7">
        <f>SUM(BW2:CH2)</f>
        <v>1302046912.43444</v>
      </c>
      <c r="CI30" s="7">
        <f>SUM(BX2:CI2)</f>
        <v>1302621603.81978</v>
      </c>
      <c r="CJ30" s="7">
        <f>SUM(BY2:CJ2)</f>
        <v>1304751435.0174</v>
      </c>
      <c r="CK30" s="7">
        <f>SUM(BZ2:CK2)</f>
        <v>1308249265.71667</v>
      </c>
      <c r="CL30" s="7">
        <f>SUM(CA2:CL2)</f>
        <v>1304077594.5706</v>
      </c>
      <c r="CM30" s="7">
        <f>SUM(CB2:CM2)</f>
        <v>1307336432.88631</v>
      </c>
      <c r="CN30" s="7">
        <f>SUM(CC2:CN2)</f>
        <v>1310678022.94442</v>
      </c>
      <c r="CO30" s="7">
        <f>SUM(CD2:CO2)</f>
        <v>1306897343.92843</v>
      </c>
      <c r="CP30" s="7">
        <f>SUM(CE2:CP2)</f>
        <v>1305040994.25364</v>
      </c>
      <c r="CQ30" s="7">
        <f>SUM(CF2:CQ2)</f>
        <v>1348670272.44388</v>
      </c>
      <c r="CR30" s="7">
        <f>SUM(CG2:CR2)</f>
        <v>1355631251.96275</v>
      </c>
      <c r="CS30" s="7">
        <f>SUM(CH2:CS2)</f>
        <v>1360549861.261</v>
      </c>
      <c r="CT30" s="7">
        <f>SUM(CI2:CT2)</f>
        <v>1369401192.09556</v>
      </c>
      <c r="CU30" s="7">
        <f>SUM(CJ2:CU2)</f>
        <v>1373779619.03422</v>
      </c>
      <c r="CV30" s="7">
        <f>SUM(CK2:CV2)</f>
        <v>1377251681.5966</v>
      </c>
      <c r="CW30" s="7">
        <f>SUM(CL2:CW2)</f>
        <v>1383570359.86533</v>
      </c>
      <c r="CX30" s="7">
        <f>SUM(CM2:CX2)</f>
        <v>1386935324.3314</v>
      </c>
      <c r="CY30" s="7">
        <f>SUM(CN2:CY2)</f>
        <v>1391714873.62069</v>
      </c>
      <c r="CZ30" s="7">
        <f>SUM(CO2:CZ2)</f>
        <v>1394290344.33858</v>
      </c>
      <c r="DA30" s="7">
        <f>SUM(CP2:DA2)</f>
        <v>1410758851.94157</v>
      </c>
      <c r="DB30" s="7">
        <f>SUM(CQ2:DB2)</f>
        <v>1420655951.45036</v>
      </c>
      <c r="DC30" s="7">
        <f>SUM(CR2:DC2)</f>
        <v>1392326309.29412</v>
      </c>
      <c r="DD30" s="7">
        <f>SUM(CS2:DD2)</f>
        <v>1418371425.90725</v>
      </c>
      <c r="DE30" s="7">
        <f>SUM(CT2:DE2)</f>
        <v>1407900047.336</v>
      </c>
      <c r="DF30" s="7">
        <f>SUM(CU2:DF2)</f>
        <v>1416113027.999</v>
      </c>
      <c r="DG30" s="7">
        <f>SUM(CV2:DG2)</f>
        <v>1427497191.875</v>
      </c>
      <c r="DH30" s="7">
        <f>SUM(CW2:DH2)</f>
        <v>1429341508.654</v>
      </c>
      <c r="DI30" s="7">
        <f>SUM(CX2:DI2)</f>
        <v>1442653931.075</v>
      </c>
      <c r="DJ30" s="7">
        <f>SUM(CY2:DJ2)</f>
        <v>1462484138.976</v>
      </c>
      <c r="DK30" s="7">
        <f>SUM(CZ2:DK2)</f>
        <v>1465023703.193</v>
      </c>
      <c r="DL30" s="7">
        <f>SUM(DA2:DL2)</f>
        <v>1481176412.03</v>
      </c>
      <c r="DM30" s="7">
        <f>SUM(DB2:DM2)</f>
        <v>1487895912.119</v>
      </c>
      <c r="DN30" s="7">
        <f>SUM(DC2:DN2)</f>
        <v>1496818552.618</v>
      </c>
      <c r="DO30" s="7">
        <f>SUM(DD2:DO2)</f>
        <v>1507408410.696</v>
      </c>
      <c r="DP30" s="7">
        <f>SUM(DE2:DP2)</f>
        <v>1505509344.818</v>
      </c>
      <c r="DQ30" s="7">
        <f>SUM(DF2:DQ2)</f>
        <v>1535662595.325</v>
      </c>
      <c r="DR30" s="7">
        <f>SUM(DG2:DR2)</f>
        <v>1537529773.294</v>
      </c>
      <c r="DS30" s="7">
        <f>SUM(DH2:DS2)</f>
        <v>1548413769.69</v>
      </c>
      <c r="DT30" s="7">
        <f>SUM(DI2:DT2)</f>
        <v>1557361002.504</v>
      </c>
      <c r="DU30" s="7">
        <f>SUM(DJ2:DU2)</f>
        <v>1564179149.327</v>
      </c>
      <c r="DV30" s="7">
        <f>SUM(DK2:DV2)</f>
        <v>1566920656.44</v>
      </c>
      <c r="DW30" s="7">
        <f>SUM(DL2:DW2)</f>
        <v>1573999024.002</v>
      </c>
      <c r="DX30" s="7">
        <f>SUM(DM2:DX2)</f>
        <v>1584710720.905</v>
      </c>
      <c r="DY30" s="7">
        <f>SUM(DN2:DY2)</f>
        <v>1588053662.261</v>
      </c>
      <c r="DZ30" s="7">
        <f>SUM(DO2:DZ2)</f>
        <v>1596798444.117</v>
      </c>
      <c r="EA30" s="7">
        <f>SUM(DP2:EA2)</f>
        <v>1603962830.5</v>
      </c>
      <c r="EB30" s="7">
        <f>SUM(DQ2:EB2)</f>
        <v>1606718212.184</v>
      </c>
      <c r="EC30" s="7">
        <f>SUM(DR2:EC2)</f>
        <v>1691011536.713</v>
      </c>
      <c r="ED30" s="7">
        <f>SUM(DS2:ED2)</f>
        <v>1704196126.36</v>
      </c>
      <c r="EE30" s="7">
        <f>SUM(DT2:EE2)</f>
        <v>1704490450.16</v>
      </c>
      <c r="EF30" s="7">
        <f>SUM(DU2:EF2)</f>
        <v>1697371683.114</v>
      </c>
      <c r="EG30" s="7">
        <f>SUM(DV2:EG2)</f>
        <v>1654267489.645</v>
      </c>
      <c r="EH30" s="7">
        <f>SUM(DW2:EH2)</f>
        <v>1607963065.069</v>
      </c>
      <c r="EI30" s="7">
        <f>SUM(DX2:EI2)</f>
        <v>1583550273.846</v>
      </c>
      <c r="EJ30" s="7">
        <f>SUM(DY2:EJ2)</f>
        <v>1556514728.58</v>
      </c>
      <c r="EK30" s="7">
        <f>SUM(DZ2:EK2)</f>
        <v>1558707984.983</v>
      </c>
      <c r="EL30" s="7">
        <f>SUM(EA2:EL2)</f>
        <v>1558105581.283</v>
      </c>
      <c r="EM30" s="7">
        <f>SUM(EB2:EM2)</f>
        <v>1574231732.47</v>
      </c>
      <c r="EN30" s="7">
        <f>SUM(EC2:EN2)</f>
        <v>1586154087.079</v>
      </c>
      <c r="EO30" s="7">
        <f>SUM(ED2:EO2)</f>
        <v>1513686530.086</v>
      </c>
      <c r="EP30" s="7">
        <f>SUM(EE2:EP2)</f>
        <v>1529248301.581</v>
      </c>
      <c r="EQ30" s="7">
        <f>SUM(EF2:EQ2)</f>
        <v>1542700422.804</v>
      </c>
      <c r="ER30" s="7">
        <f>SUM(EG2:ER2)</f>
        <v>1576413304.502</v>
      </c>
      <c r="ES30" s="7">
        <f>SUM(EH2:ES2)</f>
        <v>1641917186.269</v>
      </c>
      <c r="ET30" s="7">
        <f>SUM(EI2:ET2)</f>
        <v>1720381271.162</v>
      </c>
      <c r="EU30" s="7">
        <f>SUM(EJ2:EU2)</f>
        <v>1760082900.913</v>
      </c>
      <c r="EV30" s="7">
        <f>SUM(EK2:EV2)</f>
        <v>1816924251.995</v>
      </c>
      <c r="EW30" s="7">
        <f>SUM(EL2:EW2)</f>
        <v>1847253478.041</v>
      </c>
      <c r="EX30" s="7">
        <f>SUM(EM2:EX2)</f>
        <v>1877963552.79694</v>
      </c>
    </row>
    <row ht="12.8" outlineLevel="0" r="31">
      <c r="L31" s="4" t="s">
        <v>325</v>
      </c>
      <c r="M31" s="7">
        <f>SUM(B12:M12)</f>
        <v>338207337.37</v>
      </c>
      <c r="N31" s="7">
        <f>SUM(C12:N12)</f>
        <v>338804749.75</v>
      </c>
      <c r="O31" s="7">
        <f>SUM(D12:O12)</f>
        <v>343726651.14</v>
      </c>
      <c r="P31" s="7">
        <f>SUM(E12:P12)</f>
        <v>347829637.9</v>
      </c>
      <c r="Q31" s="7">
        <f>SUM(F12:Q12)</f>
        <v>346580328.5</v>
      </c>
      <c r="R31" s="7">
        <f>SUM(G12:R12)</f>
        <v>352275201.99</v>
      </c>
      <c r="S31" s="7">
        <f>SUM(H12:S12)</f>
        <v>353992543.51</v>
      </c>
      <c r="T31" s="7">
        <f>SUM(I12:T12)</f>
        <v>361370226.49</v>
      </c>
      <c r="U31" s="7">
        <f>SUM(J12:U12)</f>
        <v>366742745.73</v>
      </c>
      <c r="V31" s="7">
        <f>SUM(K12:V12)</f>
        <v>370963736.45</v>
      </c>
      <c r="W31" s="7">
        <f>SUM(L12:W12)</f>
        <v>376375668.52</v>
      </c>
      <c r="X31" s="7">
        <f>SUM(M12:X12)</f>
        <v>378342826.27</v>
      </c>
      <c r="Y31" s="7">
        <f>SUM(N12:Y12)</f>
        <v>390270420.99</v>
      </c>
      <c r="Z31" s="7">
        <f>SUM(O12:Z12)</f>
        <v>401017410.99</v>
      </c>
      <c r="AA31" s="7">
        <f>SUM(P12:AA12)</f>
        <v>407585476.41</v>
      </c>
      <c r="AB31" s="7">
        <f>SUM(Q12:AB12)</f>
        <v>406184295.53</v>
      </c>
      <c r="AC31" s="7">
        <f>SUM(R12:AC12)</f>
        <v>418665577.06</v>
      </c>
      <c r="AD31" s="7">
        <f>SUM(S12:AD12)</f>
        <v>423645621.94</v>
      </c>
      <c r="AE31" s="7">
        <f>SUM(T12:AE12)</f>
        <v>430789589.41</v>
      </c>
      <c r="AF31" s="7">
        <f>SUM(U12:AF12)</f>
        <v>438237298.33</v>
      </c>
      <c r="AG31" s="7">
        <f>SUM(V12:AG12)</f>
        <v>445735553.85</v>
      </c>
      <c r="AH31" s="7">
        <f>SUM(W12:AH12)</f>
        <v>452530213.96</v>
      </c>
      <c r="AI31" s="7">
        <f>SUM(X12:AI12)</f>
        <v>459525915.68</v>
      </c>
      <c r="AJ31" s="7">
        <f>SUM(Y12:AJ12)</f>
        <v>465932960.62</v>
      </c>
      <c r="AK31" s="7">
        <f>SUM(Z12:AK12)</f>
        <v>470907081.22</v>
      </c>
      <c r="AL31" s="7">
        <f>SUM(AA12:AL12)</f>
        <v>472917275.49</v>
      </c>
      <c r="AM31" s="7">
        <f>SUM(AB12:AM12)</f>
        <v>474767783.68</v>
      </c>
      <c r="AN31" s="7">
        <f>SUM(AC12:AN12)</f>
        <v>487492368.24</v>
      </c>
      <c r="AO31" s="7">
        <f>SUM(AD12:AO12)</f>
        <v>491371936.43</v>
      </c>
      <c r="AP31" s="7">
        <f>SUM(AE12:AP12)</f>
        <v>495684030.01</v>
      </c>
      <c r="AQ31" s="7">
        <f>SUM(AF12:AQ12)</f>
        <v>498627911.8</v>
      </c>
      <c r="AR31" s="7">
        <f>SUM(AG12:AR12)</f>
        <v>503445986.39</v>
      </c>
      <c r="AS31" s="7">
        <f>SUM(AH12:AS12)</f>
        <v>505962510.31</v>
      </c>
      <c r="AT31" s="7">
        <f>SUM(AI12:AT12)</f>
        <v>507727118.33</v>
      </c>
      <c r="AU31" s="7">
        <f>SUM(AJ12:AU12)</f>
        <v>507436675.32</v>
      </c>
      <c r="AV31" s="7">
        <f>SUM(AK12:AV12)</f>
        <v>513662498.02</v>
      </c>
      <c r="AW31" s="7">
        <f>SUM(AL12:AW12)</f>
        <v>517783986.23</v>
      </c>
      <c r="AX31" s="7">
        <f>SUM(AM12:AX12)</f>
        <v>521428205.72</v>
      </c>
      <c r="AY31" s="7">
        <f>SUM(AN12:AY12)</f>
        <v>530777201.06</v>
      </c>
      <c r="AZ31" s="7">
        <f>SUM(AO12:AZ12)</f>
        <v>531616298.2</v>
      </c>
      <c r="BA31" s="7">
        <f>SUM(AP12:BA12)</f>
        <v>528079228.05</v>
      </c>
      <c r="BB31" s="7">
        <f>SUM(AQ12:BB12)</f>
        <v>531717932.41</v>
      </c>
      <c r="BC31" s="7">
        <f>SUM(AR12:BC12)</f>
        <v>535006297.02</v>
      </c>
      <c r="BD31" s="7">
        <f>SUM(AS12:BD12)</f>
        <v>534770172.85</v>
      </c>
      <c r="BE31" s="7">
        <f>SUM(AT12:BE12)</f>
        <v>538391781.46</v>
      </c>
      <c r="BF31" s="7">
        <f>SUM(AU12:BF12)</f>
        <v>542738878.7</v>
      </c>
      <c r="BG31" s="7">
        <f>SUM(AV12:BG12)</f>
        <v>546040841.85</v>
      </c>
      <c r="BH31" s="7">
        <f>SUM(AW12:BH12)</f>
        <v>547918447.3</v>
      </c>
      <c r="BI31" s="7">
        <f>SUM(AX12:BI12)</f>
        <v>563551591.12</v>
      </c>
      <c r="BJ31" s="7">
        <f>SUM(AY12:BJ12)</f>
        <v>561196384.23</v>
      </c>
      <c r="BK31" s="7">
        <f>SUM(AZ12:BK12)</f>
        <v>564374912</v>
      </c>
      <c r="BL31" s="7">
        <f>SUM(BA12:BL12)</f>
        <v>567003069.96</v>
      </c>
      <c r="BM31" s="7">
        <f>SUM(BB12:BM12)</f>
        <v>574578688.56</v>
      </c>
      <c r="BN31" s="7">
        <f>SUM(BC12:BN12)</f>
        <v>577654089.6</v>
      </c>
      <c r="BO31" s="7">
        <f>SUM(BD12:BO12)</f>
        <v>579860686.76</v>
      </c>
      <c r="BP31" s="7">
        <f>SUM(BE12:BP12)</f>
        <v>583073531.41</v>
      </c>
      <c r="BQ31" s="7">
        <f>SUM(BF12:BQ12)</f>
        <v>586596931.07</v>
      </c>
      <c r="BR31" s="7">
        <f>SUM(BG12:BR12)</f>
        <v>590000073.07</v>
      </c>
      <c r="BS31" s="7">
        <f>SUM(BH12:BS12)</f>
        <v>593434472.81</v>
      </c>
      <c r="BT31" s="7">
        <f>SUM(BI12:BT12)</f>
        <v>597542816.8</v>
      </c>
      <c r="BU31" s="7">
        <f>SUM(BJ12:BU12)</f>
        <v>601701934.83</v>
      </c>
      <c r="BV31" s="7">
        <f>SUM(BK12:BV12)</f>
        <v>604121883.15668</v>
      </c>
      <c r="BW31" s="7">
        <f>SUM(BL12:BW12)</f>
        <v>604598209.35819</v>
      </c>
      <c r="BX31" s="7">
        <f>SUM(BM12:BX12)</f>
        <v>607726735.22739</v>
      </c>
      <c r="BY31" s="7">
        <f>SUM(BN12:BY12)</f>
        <v>612158952.46407</v>
      </c>
      <c r="BZ31" s="7">
        <f>SUM(BO12:BZ12)</f>
        <v>613476104.95905</v>
      </c>
      <c r="CA31" s="7">
        <f>SUM(BP12:CA12)</f>
        <v>616368937.04366</v>
      </c>
      <c r="CB31" s="7">
        <f>SUM(BQ12:CB12)</f>
        <v>619320146.18486</v>
      </c>
      <c r="CC31" s="7">
        <f>SUM(BR12:CC12)</f>
        <v>618607362.88884</v>
      </c>
      <c r="CD31" s="7">
        <f>SUM(BS12:CD12)</f>
        <v>618389992.64751</v>
      </c>
      <c r="CE31" s="7">
        <f>SUM(BT12:CE12)</f>
        <v>620004200.64753</v>
      </c>
      <c r="CF31" s="7">
        <f>SUM(BU12:CF12)</f>
        <v>617984596.01432</v>
      </c>
      <c r="CG31" s="7">
        <f>SUM(BV12:CG12)</f>
        <v>607992059.5653</v>
      </c>
      <c r="CH31" s="7">
        <f>SUM(BW12:CH12)</f>
        <v>608812542.6532</v>
      </c>
      <c r="CI31" s="7">
        <f>SUM(BX12:CI12)</f>
        <v>610416796.52611</v>
      </c>
      <c r="CJ31" s="7">
        <f>SUM(BY12:CJ12)</f>
        <v>611067632.89946</v>
      </c>
      <c r="CK31" s="7">
        <f>SUM(BZ12:CK12)</f>
        <v>611006111.88776</v>
      </c>
      <c r="CL31" s="7">
        <f>SUM(CA12:CL12)</f>
        <v>614409841.40566</v>
      </c>
      <c r="CM31" s="7">
        <f>SUM(CB12:CM12)</f>
        <v>616974495.9132</v>
      </c>
      <c r="CN31" s="7">
        <f>SUM(CC12:CN12)</f>
        <v>619131871.02329</v>
      </c>
      <c r="CO31" s="7">
        <f>SUM(CD12:CO12)</f>
        <v>619108438.28465</v>
      </c>
      <c r="CP31" s="7">
        <f>SUM(CE12:CP12)</f>
        <v>621906741.90577</v>
      </c>
      <c r="CQ31" s="7">
        <f>SUM(CF12:CQ12)</f>
        <v>623404926.94637</v>
      </c>
      <c r="CR31" s="7">
        <f>SUM(CG12:CR12)</f>
        <v>633352599.78414</v>
      </c>
      <c r="CS31" s="7">
        <f>SUM(CH12:CS12)</f>
        <v>650620286.75442</v>
      </c>
      <c r="CT31" s="7">
        <f>SUM(CI12:CT12)</f>
        <v>654337387.20861</v>
      </c>
      <c r="CU31" s="7">
        <f>SUM(CJ12:CU12)</f>
        <v>658794190.47098</v>
      </c>
      <c r="CV31" s="7">
        <f>SUM(CK12:CV12)</f>
        <v>661964003.45889</v>
      </c>
      <c r="CW31" s="7">
        <f>SUM(CL12:CW12)</f>
        <v>665038928.84652</v>
      </c>
      <c r="CX31" s="7">
        <f>SUM(CM12:CX12)</f>
        <v>666281909.02114</v>
      </c>
      <c r="CY31" s="7">
        <f>SUM(CN12:CY12)</f>
        <v>668473578.00468</v>
      </c>
      <c r="CZ31" s="7">
        <f>SUM(CO12:CZ12)</f>
        <v>674001015.75481</v>
      </c>
      <c r="DA31" s="7">
        <f>SUM(CP12:DA12)</f>
        <v>680227770.14321</v>
      </c>
      <c r="DB31" s="7">
        <f>SUM(CQ12:DB12)</f>
        <v>682295204.53412</v>
      </c>
      <c r="DC31" s="7">
        <f>SUM(CR12:DC12)</f>
        <v>686718643.14835</v>
      </c>
      <c r="DD31" s="7">
        <f>SUM(CS12:DD12)</f>
        <v>687985008.45992</v>
      </c>
      <c r="DE31" s="7">
        <f>SUM(CT12:DE12)</f>
        <v>680645722.95395</v>
      </c>
      <c r="DF31" s="7">
        <f>SUM(CU12:DF12)</f>
        <v>685704604.80788</v>
      </c>
      <c r="DG31" s="7">
        <f>SUM(CV12:DG12)</f>
        <v>690986714.06549</v>
      </c>
      <c r="DH31" s="7">
        <f>SUM(CW12:DH12)</f>
        <v>696126065.98422</v>
      </c>
      <c r="DI31" s="7">
        <f>SUM(CX12:DI12)</f>
        <v>699021858.74309</v>
      </c>
      <c r="DJ31" s="7">
        <f>SUM(CY12:DJ12)</f>
        <v>705089248.13103</v>
      </c>
      <c r="DK31" s="7">
        <f>SUM(CZ12:DK12)</f>
        <v>708900944.8441</v>
      </c>
      <c r="DL31" s="7">
        <f>SUM(DA12:DL12)</f>
        <v>711592838.13517</v>
      </c>
      <c r="DM31" s="7">
        <f>SUM(DB12:DM12)</f>
        <v>717543817.07385</v>
      </c>
      <c r="DN31" s="7">
        <f>SUM(DC12:DN12)</f>
        <v>720264628.15273</v>
      </c>
      <c r="DO31" s="7">
        <f>SUM(DD12:DO12)</f>
        <v>722199633.23184</v>
      </c>
      <c r="DP31" s="7">
        <f>SUM(DE12:DP12)</f>
        <v>725087950.12684</v>
      </c>
      <c r="DQ31" s="7">
        <f>SUM(DF12:DQ12)</f>
        <v>730314191.85843</v>
      </c>
      <c r="DR31" s="7">
        <f>SUM(DG12:DR12)</f>
        <v>735566699.05198</v>
      </c>
      <c r="DS31" s="7">
        <f>SUM(DH12:DS12)</f>
        <v>739145496.10335</v>
      </c>
      <c r="DT31" s="7">
        <f>SUM(DI12:DT12)</f>
        <v>741849086.03485</v>
      </c>
      <c r="DU31" s="7">
        <f>SUM(DJ12:DU12)</f>
        <v>745562529.19807</v>
      </c>
      <c r="DV31" s="7">
        <f>SUM(DK12:DV12)</f>
        <v>749964070.41549</v>
      </c>
      <c r="DW31" s="7">
        <f>SUM(DL12:DW12)</f>
        <v>752851784.40238</v>
      </c>
      <c r="DX31" s="7">
        <f>SUM(DM12:DX12)</f>
        <v>756203994.05591</v>
      </c>
      <c r="DY31" s="7">
        <f>SUM(DN12:DY12)</f>
        <v>758896370.18593</v>
      </c>
      <c r="DZ31" s="7">
        <f>SUM(DO12:DZ12)</f>
        <v>762933173.78965</v>
      </c>
      <c r="EA31" s="7">
        <f>SUM(DP12:EA12)</f>
        <v>765774211.86177</v>
      </c>
      <c r="EB31" s="7">
        <f>SUM(DQ12:EB12)</f>
        <v>765962381.12625</v>
      </c>
      <c r="EC31" s="7">
        <f>SUM(DR12:EC12)</f>
        <v>785352947.11871</v>
      </c>
      <c r="ED31" s="7">
        <f>SUM(DS12:ED12)</f>
        <v>784000240.78233</v>
      </c>
      <c r="EE31" s="7">
        <f>SUM(DT12:EE12)</f>
        <v>788485726.23166</v>
      </c>
      <c r="EF31" s="7">
        <f>SUM(DU12:EF12)</f>
        <v>789079896.93039</v>
      </c>
      <c r="EG31" s="7">
        <f>SUM(DV12:EG12)</f>
        <v>775114587.64047</v>
      </c>
      <c r="EH31" s="7">
        <f>SUM(DW12:EH12)</f>
        <v>755897160.78694</v>
      </c>
      <c r="EI31" s="7">
        <f>SUM(DX12:EI12)</f>
        <v>757027387.49735</v>
      </c>
      <c r="EJ31" s="7">
        <f>SUM(DY12:EJ12)</f>
        <v>773477839.02072</v>
      </c>
      <c r="EK31" s="7">
        <f>SUM(DZ12:EK12)</f>
        <v>793596464.96016</v>
      </c>
      <c r="EL31" s="7">
        <f>SUM(EA12:EL12)</f>
        <v>812750769.8289</v>
      </c>
      <c r="EM31" s="7">
        <f>SUM(EB12:EM12)</f>
        <v>829249526.69627</v>
      </c>
      <c r="EN31" s="7">
        <f>SUM(EC12:EN12)</f>
        <v>840695415.67127</v>
      </c>
      <c r="EO31" s="7">
        <f>SUM(ED12:EO12)</f>
        <v>861743264.05485</v>
      </c>
      <c r="EP31" s="7">
        <f>SUM(EE12:EP12)</f>
        <v>845596613.6158</v>
      </c>
      <c r="EQ31" s="7">
        <f>SUM(EF12:EQ12)</f>
        <v>848098237.30534</v>
      </c>
      <c r="ER31" s="7">
        <f>SUM(EG12:ER12)</f>
        <v>857021371.70626</v>
      </c>
      <c r="ES31" s="7">
        <f>SUM(EH12:ES12)</f>
        <v>878893582.73021</v>
      </c>
      <c r="ET31" s="7">
        <f>SUM(EI12:ET12)</f>
        <v>906614422.58057</v>
      </c>
      <c r="EU31" s="7">
        <f>SUM(EJ12:EU12)</f>
        <v>913187712.39263</v>
      </c>
      <c r="EV31" s="7">
        <f>SUM(EK12:EV12)</f>
        <v>911570927.91318</v>
      </c>
      <c r="EW31" s="7">
        <f>SUM(EL12:EW12)</f>
        <v>908522484.00413</v>
      </c>
      <c r="EX31" s="7">
        <f>SUM(EM12:EX12)</f>
        <v>906600349.46817</v>
      </c>
    </row>
    <row ht="12.8" outlineLevel="0" r="32">
      <c r="CJ32" s="5"/>
      <c r="CK32" s="5"/>
      <c r="CL32" s="5"/>
      <c r="CM32" s="5"/>
      <c r="CN32" s="5"/>
    </row>
    <row ht="12.8" outlineLevel="0" r="33">
      <c r="B33" s="21" t="e">
        <f>INDEX($A$1:$AAA$1,1,MATCH(C30,$A$26:$AAA$26,0))</f>
        <v>#NAME?</v>
      </c>
      <c r="C33" s="21" t="e">
        <f>com.microsoft.single(INDEX($B$1:$AAA$1,1,MATCH($B33,$B$1:$AAA$1,0)-12))</f>
        <v>#NAME?</v>
      </c>
      <c r="D33" s="21" t="e">
        <f>com.microsoft.single(INDEX($B$1:$AAA$1,1,MATCH($B33,$B$1:$AAA$1,0)-24))</f>
        <v>#NAME?</v>
      </c>
      <c r="M33" s="4" t="s">
        <v>326</v>
      </c>
      <c r="N33" s="4" t="s">
        <v>327</v>
      </c>
      <c r="O33" s="4" t="s">
        <v>328</v>
      </c>
      <c r="P33" s="4" t="s">
        <v>329</v>
      </c>
      <c r="Q33" s="4" t="s">
        <v>330</v>
      </c>
      <c r="R33" s="4" t="s">
        <v>331</v>
      </c>
      <c r="S33" s="4" t="s">
        <v>332</v>
      </c>
      <c r="T33" s="4" t="s">
        <v>333</v>
      </c>
      <c r="U33" s="4" t="s">
        <v>334</v>
      </c>
      <c r="V33" s="4" t="s">
        <v>335</v>
      </c>
      <c r="W33" s="4" t="s">
        <v>336</v>
      </c>
      <c r="X33" s="4" t="s">
        <v>337</v>
      </c>
      <c r="Y33" s="4" t="s">
        <v>338</v>
      </c>
      <c r="Z33" s="4" t="s">
        <v>339</v>
      </c>
      <c r="AA33" s="4" t="s">
        <v>340</v>
      </c>
      <c r="AB33" s="4" t="s">
        <v>341</v>
      </c>
      <c r="AC33" s="4" t="s">
        <v>342</v>
      </c>
      <c r="AD33" s="4" t="s">
        <v>343</v>
      </c>
      <c r="AE33" s="4" t="s">
        <v>344</v>
      </c>
      <c r="AF33" s="4" t="s">
        <v>345</v>
      </c>
      <c r="AG33" s="4" t="s">
        <v>346</v>
      </c>
      <c r="AH33" s="4" t="s">
        <v>347</v>
      </c>
      <c r="AI33" s="4" t="s">
        <v>348</v>
      </c>
      <c r="AJ33" s="4" t="s">
        <v>349</v>
      </c>
      <c r="AK33" s="4" t="s">
        <v>350</v>
      </c>
      <c r="AL33" s="4" t="s">
        <v>351</v>
      </c>
      <c r="AM33" s="4" t="s">
        <v>352</v>
      </c>
      <c r="AN33" s="4" t="s">
        <v>353</v>
      </c>
      <c r="AO33" s="4" t="s">
        <v>354</v>
      </c>
      <c r="AP33" s="4" t="s">
        <v>355</v>
      </c>
      <c r="AQ33" s="4" t="s">
        <v>356</v>
      </c>
      <c r="AR33" s="4" t="s">
        <v>357</v>
      </c>
      <c r="AS33" s="4" t="s">
        <v>358</v>
      </c>
      <c r="AT33" s="4" t="s">
        <v>359</v>
      </c>
      <c r="AU33" s="4" t="s">
        <v>360</v>
      </c>
      <c r="AV33" s="4" t="s">
        <v>361</v>
      </c>
      <c r="AW33" s="4" t="s">
        <v>362</v>
      </c>
      <c r="AX33" s="4" t="s">
        <v>351</v>
      </c>
      <c r="AY33" s="4" t="s">
        <v>363</v>
      </c>
      <c r="AZ33" s="4" t="s">
        <v>364</v>
      </c>
      <c r="BA33" s="4" t="s">
        <v>365</v>
      </c>
      <c r="BB33" s="4" t="s">
        <v>366</v>
      </c>
      <c r="BC33" s="4" t="s">
        <v>367</v>
      </c>
      <c r="BD33" s="4" t="s">
        <v>368</v>
      </c>
      <c r="BE33" s="4" t="s">
        <v>369</v>
      </c>
      <c r="BF33" s="4" t="s">
        <v>370</v>
      </c>
      <c r="BG33" s="4" t="s">
        <v>371</v>
      </c>
      <c r="BH33" s="4" t="s">
        <v>372</v>
      </c>
      <c r="BI33" s="4" t="s">
        <v>373</v>
      </c>
      <c r="BJ33" s="4" t="s">
        <v>374</v>
      </c>
      <c r="BK33" s="4" t="s">
        <v>375</v>
      </c>
      <c r="BL33" s="16" t="s">
        <v>376</v>
      </c>
      <c r="BM33" s="4" t="s">
        <v>377</v>
      </c>
      <c r="BN33" s="4" t="s">
        <v>378</v>
      </c>
      <c r="BO33" s="16" t="s">
        <v>379</v>
      </c>
      <c r="BP33" s="4" t="s">
        <v>380</v>
      </c>
      <c r="BQ33" s="4" t="s">
        <v>381</v>
      </c>
      <c r="BR33" s="4" t="s">
        <v>382</v>
      </c>
      <c r="BS33" s="4" t="s">
        <v>383</v>
      </c>
      <c r="BT33" s="4" t="s">
        <v>384</v>
      </c>
      <c r="BU33" s="4" t="s">
        <v>385</v>
      </c>
      <c r="BV33" s="4" t="s">
        <v>386</v>
      </c>
      <c r="BW33" s="4" t="s">
        <v>387</v>
      </c>
      <c r="BX33" s="4" t="s">
        <v>388</v>
      </c>
      <c r="BY33" s="4" t="s">
        <v>389</v>
      </c>
      <c r="BZ33" s="4" t="s">
        <v>390</v>
      </c>
      <c r="CA33" s="4" t="s">
        <v>391</v>
      </c>
      <c r="CB33" s="4" t="s">
        <v>392</v>
      </c>
      <c r="CC33" s="4" t="s">
        <v>393</v>
      </c>
      <c r="CD33" s="4" t="s">
        <v>394</v>
      </c>
      <c r="CE33" s="4" t="s">
        <v>395</v>
      </c>
      <c r="CF33" s="4" t="s">
        <v>396</v>
      </c>
      <c r="CG33" s="4" t="s">
        <v>397</v>
      </c>
      <c r="CH33" s="4" t="s">
        <v>398</v>
      </c>
      <c r="CI33" s="22" t="s">
        <v>399</v>
      </c>
      <c r="CJ33" s="22" t="s">
        <v>400</v>
      </c>
      <c r="CK33" s="22" t="s">
        <v>401</v>
      </c>
      <c r="CL33" s="22" t="s">
        <v>402</v>
      </c>
      <c r="CM33" s="22" t="s">
        <v>403</v>
      </c>
      <c r="CN33" s="22" t="s">
        <v>404</v>
      </c>
      <c r="CO33" s="23" t="s">
        <v>405</v>
      </c>
      <c r="CP33" s="23" t="s">
        <v>406</v>
      </c>
      <c r="CQ33" s="23" t="s">
        <v>407</v>
      </c>
      <c r="CR33" s="23" t="s">
        <v>408</v>
      </c>
      <c r="CS33" s="23" t="s">
        <v>409</v>
      </c>
      <c r="CT33" s="23" t="s">
        <v>410</v>
      </c>
      <c r="CU33" s="23" t="s">
        <v>411</v>
      </c>
      <c r="CV33" s="23" t="s">
        <v>412</v>
      </c>
      <c r="CW33" s="23" t="s">
        <v>413</v>
      </c>
      <c r="CX33" s="23" t="s">
        <v>414</v>
      </c>
      <c r="CY33" s="23" t="s">
        <v>415</v>
      </c>
      <c r="CZ33" s="23" t="s">
        <v>416</v>
      </c>
      <c r="DA33" s="23" t="s">
        <v>417</v>
      </c>
      <c r="DB33" s="23" t="s">
        <v>418</v>
      </c>
      <c r="DC33" s="23" t="s">
        <v>419</v>
      </c>
      <c r="DD33" s="23" t="s">
        <v>420</v>
      </c>
      <c r="DE33" s="23" t="s">
        <v>421</v>
      </c>
      <c r="DF33" s="23" t="s">
        <v>422</v>
      </c>
      <c r="DG33" s="23" t="s">
        <v>423</v>
      </c>
      <c r="DH33" s="23" t="s">
        <v>424</v>
      </c>
      <c r="DI33" s="23" t="s">
        <v>425</v>
      </c>
      <c r="DJ33" s="21">
        <f>+DJ1</f>
        <v>43221</v>
      </c>
      <c r="DK33" s="21">
        <f>+DK1</f>
        <v>43252</v>
      </c>
      <c r="DL33" s="21">
        <f>+DL1</f>
        <v>43282</v>
      </c>
      <c r="DM33" s="21">
        <f>+DM1</f>
        <v>43313</v>
      </c>
      <c r="DN33" s="21">
        <f>+DN1</f>
        <v>43344</v>
      </c>
      <c r="DO33" s="21">
        <f>+DO1</f>
        <v>43374</v>
      </c>
      <c r="DP33" s="21">
        <f>+DP1</f>
        <v>43405</v>
      </c>
      <c r="DQ33" s="21">
        <f>+DQ1</f>
        <v>43435</v>
      </c>
      <c r="DR33" s="21">
        <f>+DR1</f>
        <v>43466</v>
      </c>
      <c r="DS33" s="21">
        <f>+DS1</f>
        <v>43497</v>
      </c>
      <c r="DT33" s="21">
        <f>+DT1</f>
        <v>43525</v>
      </c>
      <c r="DU33" s="21">
        <f>+DU1</f>
        <v>43556</v>
      </c>
      <c r="DV33" s="21">
        <f>+DV1</f>
        <v>43586</v>
      </c>
      <c r="DW33" s="21">
        <f>+DW1</f>
        <v>43617</v>
      </c>
      <c r="DX33" s="21">
        <f>+DX1</f>
        <v>43647</v>
      </c>
      <c r="DY33" s="21">
        <f>+DY1</f>
        <v>43678</v>
      </c>
      <c r="DZ33" s="21">
        <f>+DZ1</f>
        <v>43709</v>
      </c>
      <c r="EA33" s="21">
        <f>+EA1</f>
        <v>43739</v>
      </c>
      <c r="EB33" s="21">
        <f>+EB1</f>
        <v>43770</v>
      </c>
      <c r="EC33" s="21">
        <f>+EC1</f>
        <v>43800</v>
      </c>
      <c r="ED33" s="21">
        <f>+ED1</f>
        <v>43831</v>
      </c>
      <c r="EE33" s="21">
        <f>+EE1</f>
        <v>43862</v>
      </c>
      <c r="EF33" s="21">
        <f>+EF1</f>
        <v>43891</v>
      </c>
      <c r="EG33" s="21">
        <f>+EG1</f>
        <v>43922</v>
      </c>
      <c r="EH33" s="21">
        <f>+EH1</f>
        <v>43952</v>
      </c>
      <c r="EI33" s="21">
        <f>+EI1</f>
        <v>43983</v>
      </c>
      <c r="EJ33" s="21">
        <f>+EJ1</f>
        <v>44013</v>
      </c>
      <c r="EK33" s="21">
        <f>+EK1</f>
        <v>44044</v>
      </c>
      <c r="EL33" s="21">
        <f>+EL1</f>
        <v>44075</v>
      </c>
      <c r="EM33" s="21">
        <f>+EM1</f>
        <v>44105</v>
      </c>
      <c r="EN33" s="21">
        <f>+EN1</f>
        <v>44136</v>
      </c>
      <c r="EO33" s="21">
        <f>+EO1</f>
        <v>44166</v>
      </c>
      <c r="EP33" s="21">
        <f>+EP1</f>
        <v>44197</v>
      </c>
      <c r="EQ33" s="21">
        <f>+EQ1</f>
        <v>44228</v>
      </c>
      <c r="ER33" s="21">
        <f>+ER1</f>
        <v>44256</v>
      </c>
      <c r="ES33" s="21">
        <f>+ES1</f>
        <v>44287</v>
      </c>
      <c r="ET33" s="21">
        <f>+ET1</f>
        <v>44317</v>
      </c>
      <c r="EU33" s="21">
        <f>+EU1</f>
        <v>44348</v>
      </c>
      <c r="EV33" s="21">
        <f>+EV1</f>
        <v>44378</v>
      </c>
      <c r="EW33" s="21">
        <f>+EW1</f>
        <v>44409</v>
      </c>
      <c r="EX33" s="21">
        <f>+EX1</f>
        <v>44440</v>
      </c>
    </row>
    <row ht="12.8" outlineLevel="0" r="34">
      <c r="A34" s="4" t="str">
        <f>A2</f>
        <v>RECEITA CORRENTE (I)</v>
      </c>
      <c r="B34" s="24" t="e">
        <f>INDEX($A$2:$AAA$2,1,MATCH(C30,$A$26:$AAA$26,0))</f>
        <v>#NAME?</v>
      </c>
      <c r="C34" s="7" t="e">
        <f>com.microsoft.single(INDEX($B$2:$AAA$2,1,MATCH($B34,$B$2:$AAA$2,0)-12))</f>
        <v>#NAME?</v>
      </c>
      <c r="D34" s="7" t="e">
        <f>com.microsoft.single(INDEX($B$2:$AAA$2,1,MATCH($B34,$B$2:$AAA$2,0)-24))</f>
        <v>#NAME?</v>
      </c>
      <c r="F34" s="25" t="e">
        <f>B34/C34-1</f>
        <v>#NAME?</v>
      </c>
      <c r="G34" s="25" t="e">
        <f>C34/D34-1</f>
        <v>#NAME?</v>
      </c>
      <c r="L34" s="4" t="s">
        <v>426</v>
      </c>
      <c r="M34" s="25">
        <f>M12/M2</f>
        <v>0.598627734752787</v>
      </c>
      <c r="N34" s="25">
        <f>N12/N2</f>
        <v>0.336814079530079</v>
      </c>
      <c r="O34" s="25">
        <f>O12/O2</f>
        <v>0.53218799615753</v>
      </c>
      <c r="P34" s="25">
        <f>P12/P2</f>
        <v>0.403076604307669</v>
      </c>
      <c r="Q34" s="25">
        <f>Q12/Q2</f>
        <v>0.310404155867036</v>
      </c>
      <c r="R34" s="25">
        <f>R12/R2</f>
        <v>0.507923576151272</v>
      </c>
      <c r="S34" s="25">
        <f>S12/S2</f>
        <v>0.473536429844098</v>
      </c>
      <c r="T34" s="25">
        <f>T12/T2</f>
        <v>0.37611862311786</v>
      </c>
      <c r="U34" s="25">
        <f>U12/U2</f>
        <v>0.433893466559316</v>
      </c>
      <c r="V34" s="25">
        <f>V12/V2</f>
        <v>0.381872518073933</v>
      </c>
      <c r="W34" s="25">
        <f>W12/W2</f>
        <v>0.431707815844207</v>
      </c>
      <c r="X34" s="25">
        <f>X12/X2</f>
        <v>0.457324672938119</v>
      </c>
      <c r="Y34" s="25">
        <f>Y12/Y2</f>
        <v>0.604040777203049</v>
      </c>
      <c r="Z34" s="25">
        <f>Z12/Z2</f>
        <v>0.378227222981492</v>
      </c>
      <c r="AA34" s="25">
        <f>AA12/AA2</f>
        <v>0.545323491194977</v>
      </c>
      <c r="AB34" s="25">
        <f>AB12/AB2</f>
        <v>0.329615235512801</v>
      </c>
      <c r="AC34" s="25">
        <f>AC12/AC2</f>
        <v>0.407985421530094</v>
      </c>
      <c r="AD34" s="25">
        <f>AD12/AD2</f>
        <v>0.493369449434192</v>
      </c>
      <c r="AE34" s="25">
        <f>AE12/AE2</f>
        <v>0.46012439416034</v>
      </c>
      <c r="AF34" s="25">
        <f>AF12/AF2</f>
        <v>0.373268267718269</v>
      </c>
      <c r="AG34" s="25">
        <f>AG12/AG2</f>
        <v>0.499515566652766</v>
      </c>
      <c r="AH34" s="25">
        <f>AH12/AH2</f>
        <v>0.434215596318351</v>
      </c>
      <c r="AI34" s="25">
        <f>AI12/AI2</f>
        <v>0.435623792042954</v>
      </c>
      <c r="AJ34" s="25">
        <f>AJ12/AJ2</f>
        <v>0.500182803054</v>
      </c>
      <c r="AK34" s="25">
        <f>AK12/AK2</f>
        <v>0.636428792687778</v>
      </c>
      <c r="AL34" s="25">
        <f>AL12/AL2</f>
        <v>0.343067683970156</v>
      </c>
      <c r="AM34" s="25">
        <f>AM12/AM2</f>
        <v>0.493249116996427</v>
      </c>
      <c r="AN34" s="25">
        <f>AN12/AN2</f>
        <v>0.439497589608459</v>
      </c>
      <c r="AO34" s="25">
        <f>AO12/AO2</f>
        <v>0.415825320504694</v>
      </c>
      <c r="AP34" s="25">
        <f>AP12/AP2</f>
        <v>0.521847760235217</v>
      </c>
      <c r="AQ34" s="25">
        <f>AQ12/AQ2</f>
        <v>0.480623769349306</v>
      </c>
      <c r="AR34" s="25">
        <f>AR12/AR2</f>
        <v>0.351756986245089</v>
      </c>
      <c r="AS34" s="25">
        <f>AS12/AS2</f>
        <v>0.489382873496433</v>
      </c>
      <c r="AT34" s="25">
        <f>AT12/AT2</f>
        <v>0.439043122090776</v>
      </c>
      <c r="AU34" s="25">
        <f>AU12/AU2</f>
        <v>0.412502849449674</v>
      </c>
      <c r="AV34" s="25">
        <f>AV12/AV2</f>
        <v>0.537745555039103</v>
      </c>
      <c r="AW34" s="25">
        <f>AW12/AW2</f>
        <v>0.590460756496497</v>
      </c>
      <c r="AX34" s="25">
        <f>AX12/AX2</f>
        <v>0.339338388746798</v>
      </c>
      <c r="AY34" s="25">
        <f>AY12/AY2</f>
        <v>0.614444663216564</v>
      </c>
      <c r="AZ34" s="25">
        <f>AZ12/AZ2</f>
        <v>0.469833843577419</v>
      </c>
      <c r="BA34" s="25">
        <f>BA12/BA2</f>
        <v>0.354919072084405</v>
      </c>
      <c r="BB34" s="25">
        <f>BB12/BB2</f>
        <v>0.504737436131592</v>
      </c>
      <c r="BC34" s="25">
        <f>BC12/BC2</f>
        <v>0.466065394793435</v>
      </c>
      <c r="BD34" s="25">
        <f>BD12/BD2</f>
        <v>0.386007941608125</v>
      </c>
      <c r="BE34" s="25">
        <f>BE12/BE2</f>
        <v>0.498217460927126</v>
      </c>
      <c r="BF34" s="25">
        <f>BF12/BF2</f>
        <v>0.459491054230953</v>
      </c>
      <c r="BG34" s="25">
        <f>BG12/BG2</f>
        <v>0.416212542976594</v>
      </c>
      <c r="BH34" s="25">
        <f>BH12/BH2</f>
        <v>0.447263223919365</v>
      </c>
      <c r="BI34" s="25">
        <f>BI12/BI2</f>
        <v>0.611631923329867</v>
      </c>
      <c r="BJ34" s="25">
        <f>BJ12/BJ2</f>
        <v>0.306621331290312</v>
      </c>
      <c r="BK34" s="25">
        <f>BK12/BK2</f>
        <v>0.581058595096407</v>
      </c>
      <c r="BL34" s="25">
        <f>BL12/BL2</f>
        <v>0.438570224199324</v>
      </c>
      <c r="BM34" s="25">
        <f>BM12/BM2</f>
        <v>0.406033988910255</v>
      </c>
      <c r="BN34" s="25">
        <f>BN12/BN2</f>
        <v>0.54416166477321</v>
      </c>
      <c r="BO34" s="25">
        <f>BO12/BO2</f>
        <v>0.479674756086838</v>
      </c>
      <c r="BP34" s="25">
        <f>BP12/BP2</f>
        <v>0.41111247925689</v>
      </c>
      <c r="BQ34" s="25">
        <f>BQ12/BQ2</f>
        <v>0.493023480140184</v>
      </c>
      <c r="BR34" s="25">
        <f>BR12/BR2</f>
        <v>0.490359724658834</v>
      </c>
      <c r="BS34" s="25">
        <f>BS12/BS2</f>
        <v>0.435891410214017</v>
      </c>
      <c r="BT34" s="25">
        <f>BT12/BT2</f>
        <v>0.527576046590995</v>
      </c>
      <c r="BU34" s="25">
        <f>BU12/BU2</f>
        <v>0.723150453145191</v>
      </c>
      <c r="BV34" s="25">
        <f>BV12/BV2</f>
        <v>0.325868005989497</v>
      </c>
      <c r="BW34" s="25">
        <f>BW12/BW2</f>
        <v>0.573211679226195</v>
      </c>
      <c r="BX34" s="25">
        <f>BX12/BX2</f>
        <v>0.442739050929639</v>
      </c>
      <c r="BY34" s="25">
        <f>BY12/BY2</f>
        <v>0.431891669957903</v>
      </c>
      <c r="BZ34" s="25">
        <f>BZ12/BZ2</f>
        <v>0.504369297988215</v>
      </c>
      <c r="CA34" s="25">
        <f>CA12/CA2</f>
        <v>0.485309669271798</v>
      </c>
      <c r="CB34" s="25">
        <f>CB12/CB2</f>
        <v>0.411626068784304</v>
      </c>
      <c r="CC34" s="25">
        <f>CC12/CC2</f>
        <v>0.490870635582952</v>
      </c>
      <c r="CD34" s="25">
        <f>CD12/CD2</f>
        <v>0.455471230654617</v>
      </c>
      <c r="CE34" s="25">
        <f>CE12/CE2</f>
        <v>0.444547196081204</v>
      </c>
      <c r="CF34" s="25">
        <f>CF12/CF2</f>
        <v>0.525919709836209</v>
      </c>
      <c r="CG34" s="25">
        <f>CG12/CG2</f>
        <v>0.6304286370563</v>
      </c>
      <c r="CH34" s="25">
        <f>CH12/CH2</f>
        <v>0.289347442321397</v>
      </c>
      <c r="CI34" s="25">
        <f>CI12/CI2</f>
        <v>0.587045211263854</v>
      </c>
      <c r="CJ34" s="25">
        <f>CJ12/CJ2</f>
        <v>0.439963620664473</v>
      </c>
      <c r="CK34" s="25">
        <f>CK12/CK2</f>
        <v>0.41863217878583</v>
      </c>
      <c r="CL34" s="25">
        <f>CL12/CL2</f>
        <v>0.560386320629301</v>
      </c>
      <c r="CM34" s="25">
        <f>CM12/CM2</f>
        <v>0.494894234714125</v>
      </c>
      <c r="CN34" s="25">
        <f>CN12/CN2</f>
        <v>0.418354606059432</v>
      </c>
      <c r="CO34" s="25">
        <f>CO12/CO2</f>
        <v>0.51035402441731</v>
      </c>
      <c r="CP34" s="25">
        <f>CP12/CP2</f>
        <v>0.493204242318428</v>
      </c>
      <c r="CQ34" s="25">
        <f>CQ12/CQ2</f>
        <v>0.325948303125718</v>
      </c>
      <c r="CR34" s="25">
        <f>CR12/CR2</f>
        <v>0.587333051282614</v>
      </c>
      <c r="CS34" s="25">
        <f>CS12/CS2</f>
        <v>0.737946364285347</v>
      </c>
      <c r="CT34" s="25">
        <f>CT12/CT2</f>
        <v>0.296542373041746</v>
      </c>
      <c r="CU34" s="25">
        <f>CU12/CU2</f>
        <v>0.606587268489518</v>
      </c>
      <c r="CV34" s="25">
        <f>CV12/CV2</f>
        <v>0.455068030631078</v>
      </c>
      <c r="CW34" s="25">
        <f>CW12/CW2</f>
        <v>0.422072973534705</v>
      </c>
      <c r="CX34" s="25">
        <f>CX12/CX2</f>
        <v>0.554066040476384</v>
      </c>
      <c r="CY34" s="25">
        <f>CY12/CY2</f>
        <v>0.493276165067501</v>
      </c>
      <c r="CZ34" s="25">
        <f>CZ12/CZ2</f>
        <v>0.455818496228099</v>
      </c>
      <c r="DA34" s="25">
        <f>DA12/DA2</f>
        <v>0.4906465909716</v>
      </c>
      <c r="DB34" s="25">
        <f>DB12/DB2</f>
        <v>0.46677449337516</v>
      </c>
      <c r="DC34" s="25">
        <f>DC12/DC2</f>
        <v>0.437369641287771</v>
      </c>
      <c r="DD34" s="25">
        <f>DD12/DD2</f>
        <v>0.478070066719954</v>
      </c>
      <c r="DE34" s="25">
        <f>DE12/DE2</f>
        <v>0.741145516367547</v>
      </c>
      <c r="DF34" s="25">
        <f>DF12/DF2</f>
        <v>0.312076360512869</v>
      </c>
      <c r="DG34" s="25">
        <f>DG12/DG2</f>
        <v>0.59154454694399</v>
      </c>
      <c r="DH34" s="25">
        <f>DH12/DH2</f>
        <v>0.493958114113724</v>
      </c>
      <c r="DI34" s="25">
        <f>DI12/DI2</f>
        <v>0.402369941532518</v>
      </c>
      <c r="DJ34" s="25">
        <f>DJ12/DJ2</f>
        <v>0.513579641292133</v>
      </c>
      <c r="DK34" s="25">
        <f>DK12/DK2</f>
        <v>0.516562747525878</v>
      </c>
      <c r="DL34" s="25">
        <f>DL12/DL2</f>
        <v>0.421202763370587</v>
      </c>
      <c r="DM34" s="25">
        <f>DM12/DM2</f>
        <v>0.513285185322033</v>
      </c>
      <c r="DN34" s="25">
        <f>DN12/DN2</f>
        <v>0.454259779024342</v>
      </c>
      <c r="DO34" s="25">
        <f>DO12/DO2</f>
        <v>0.417118927934682</v>
      </c>
      <c r="DP34" s="25">
        <f>DP12/DP2</f>
        <v>0.508076264351864</v>
      </c>
      <c r="DQ34" s="25">
        <f>DQ12/DQ2</f>
        <v>0.628089800946996</v>
      </c>
      <c r="DR34" s="25">
        <f>DR12/DR2</f>
        <v>0.339425543428996</v>
      </c>
      <c r="DS34" s="25">
        <f>DS12/DS2</f>
        <v>0.56747447193404</v>
      </c>
      <c r="DT34" s="25">
        <f>DT12/DT2</f>
        <v>0.479600573164237</v>
      </c>
      <c r="DU34" s="25">
        <f>DU12/DU2</f>
        <v>0.40905879268785</v>
      </c>
      <c r="DV34" s="25">
        <f>DV12/DV2</f>
        <v>0.537670688440421</v>
      </c>
      <c r="DW34" s="25">
        <f>DW12/DW2</f>
        <v>0.509990892105786</v>
      </c>
      <c r="DX34" s="25">
        <f>DX12/DX2</f>
        <v>0.41324102190806</v>
      </c>
      <c r="DY34" s="25">
        <f>DY12/DY2</f>
        <v>0.521383501466444</v>
      </c>
      <c r="DZ34" s="25">
        <f>DZ12/DZ2</f>
        <v>0.454778585127224</v>
      </c>
      <c r="EA34" s="25">
        <f>EA12/EA2</f>
        <v>0.416068801797385</v>
      </c>
      <c r="EB34" s="25">
        <f>EB12/EB2</f>
        <v>0.498702235073483</v>
      </c>
      <c r="EC34" s="25">
        <f>EC12/EC2</f>
        <v>0.48575726196759</v>
      </c>
      <c r="ED34" s="25">
        <f>ED12/ED2</f>
        <v>0.307740521533524</v>
      </c>
      <c r="EE34" s="25">
        <f>EE12/EE2</f>
        <v>0.603734753998394</v>
      </c>
      <c r="EF34" s="25">
        <f>EF12/EF2</f>
        <v>0.515262523380323</v>
      </c>
      <c r="EG34" s="25">
        <f>EG12/EG2</f>
        <v>0.44503744756421</v>
      </c>
      <c r="EH34" s="25">
        <f>EH12/EH2</f>
        <v>0.610521006678329</v>
      </c>
      <c r="EI34" s="25">
        <f>EI12/EI2</f>
        <v>0.65671736806428</v>
      </c>
      <c r="EJ34" s="25">
        <f>EJ12/EJ2</f>
        <v>0.646128709170564</v>
      </c>
      <c r="EK34" s="25">
        <f>EK12/EK2</f>
        <v>0.675937676080432</v>
      </c>
      <c r="EL34" s="25">
        <f>EL12/EL2</f>
        <v>0.612053577493077</v>
      </c>
      <c r="EM34" s="25">
        <f>EM12/EM2</f>
        <v>0.478637350644642</v>
      </c>
      <c r="EN34" s="25">
        <f>EN12/EN2</f>
        <v>0.53765766590109</v>
      </c>
      <c r="EO34" s="25">
        <f>EO12/EO2</f>
        <v>0.830274204993786</v>
      </c>
      <c r="EP34" s="25">
        <f>EP12/EP2</f>
        <v>0.202796759561851</v>
      </c>
      <c r="EQ34" s="25">
        <f>EQ12/EQ2</f>
        <v>0.561335977855343</v>
      </c>
      <c r="ER34" s="25">
        <f>ER12/ER2</f>
        <v>0.457444486825741</v>
      </c>
      <c r="ES34" s="25">
        <f>ES12/ES2</f>
        <v>0.401557416642918</v>
      </c>
      <c r="ET34" s="25">
        <f>ET12/ET2</f>
        <v>0.481489253464878</v>
      </c>
      <c r="EU34" s="25">
        <f>EU12/EU2</f>
        <v>0.509282794308304</v>
      </c>
      <c r="EV34" s="25">
        <f>EV12/EV2</f>
        <v>0.427585142216501</v>
      </c>
      <c r="EW34" s="25">
        <f>EW12/EW2</f>
        <v>0.522124811169609</v>
      </c>
      <c r="EX34" s="25">
        <f>EX12/EX2</f>
        <v>0.47772874148204</v>
      </c>
    </row>
    <row ht="12.8" outlineLevel="0" r="35">
      <c r="A35" s="4" t="str">
        <f>A12</f>
        <v>DEDUÇÕES (II)</v>
      </c>
      <c r="B35" s="26" t="e">
        <f>INDEX($A$12:$AAA$12,1,MATCH(C30,$A$26:$AAA$26,0))</f>
        <v>#NAME?</v>
      </c>
      <c r="C35" s="7" t="e">
        <f>com.microsoft.single(INDEX($B$12:$AAA$12,1,MATCH($B35,$B$12:$AAA$12,0)-12))</f>
        <v>#NAME?</v>
      </c>
      <c r="D35" s="7" t="e">
        <f>com.microsoft.single(INDEX($B$12:$AAA$12,1,MATCH($B35,$B$12:$AAA$12,0)-24))</f>
        <v>#NAME?</v>
      </c>
      <c r="F35" s="25" t="e">
        <f>B35/C35-1</f>
        <v>#NAME?</v>
      </c>
      <c r="G35" s="25" t="e">
        <f>C35/D35-1</f>
        <v>#NAME?</v>
      </c>
      <c r="I35" s="25"/>
      <c r="J35" s="25"/>
      <c r="K35" s="25"/>
      <c r="L35" s="4" t="s">
        <v>427</v>
      </c>
      <c r="M35" s="25">
        <f>SUM(B12:M12)/SUM(B2:M2)</f>
        <v>0.436167641896609</v>
      </c>
      <c r="N35" s="25">
        <f>SUM(C12:N12)/SUM(C2:N2)</f>
        <v>0.43146310369989</v>
      </c>
      <c r="O35" s="25">
        <f>SUM(D12:O12)/SUM(D2:O2)</f>
        <v>0.433523046143428</v>
      </c>
      <c r="P35" s="25">
        <f>SUM(E12:P12)/SUM(E2:P2)</f>
        <v>0.43469733395781</v>
      </c>
      <c r="Q35" s="25">
        <f>SUM(F12:Q12)/SUM(F2:Q2)</f>
        <v>0.425096542565261</v>
      </c>
      <c r="R35" s="25">
        <f>SUM(G12:R12)/SUM(G2:R2)</f>
        <v>0.427403226382268</v>
      </c>
      <c r="S35" s="25">
        <f>SUM(H12:S12)/SUM(H2:S2)</f>
        <v>0.426798365573109</v>
      </c>
      <c r="T35" s="25">
        <f>SUM(I12:T12)/SUM(I2:T2)</f>
        <v>0.431176955088206</v>
      </c>
      <c r="U35" s="25">
        <f>SUM(J12:U12)/SUM(J2:U2)</f>
        <v>0.433215919925108</v>
      </c>
      <c r="V35" s="25">
        <f>SUM(K12:V12)/SUM(K2:V2)</f>
        <v>0.427741401544791</v>
      </c>
      <c r="W35" s="25">
        <f>SUM(L12:W12)/SUM(L2:W2)</f>
        <v>0.432244218038232</v>
      </c>
      <c r="X35" s="25">
        <f>SUM(M12:X12)/SUM(M2:X2)</f>
        <v>0.434314517613418</v>
      </c>
      <c r="Y35" s="25">
        <f>SUM(N12:Y12)/SUM(N2:Y2)</f>
        <v>0.438438584783521</v>
      </c>
      <c r="Z35" s="25">
        <f>SUM(O12:Z12)/SUM(O2:Z2)</f>
        <v>0.440731456035978</v>
      </c>
      <c r="AA35" s="25">
        <f>SUM(P12:AA12)/SUM(P2:AA2)</f>
        <v>0.442773308276545</v>
      </c>
      <c r="AB35" s="25">
        <f>SUM(Q12:AB12)/SUM(Q2:AB2)</f>
        <v>0.436000479887551</v>
      </c>
      <c r="AC35" s="25">
        <f>SUM(R12:AC12)/SUM(R2:AC2)</f>
        <v>0.44395076201115</v>
      </c>
      <c r="AD35" s="25">
        <f>SUM(S12:AD12)/SUM(S2:AD2)</f>
        <v>0.443545144819318</v>
      </c>
      <c r="AE35" s="25">
        <f>SUM(T12:AE12)/SUM(T2:AE2)</f>
        <v>0.442975395279604</v>
      </c>
      <c r="AF35" s="25">
        <f>SUM(U12:AF12)/SUM(U2:AF2)</f>
        <v>0.441318790042248</v>
      </c>
      <c r="AG35" s="25">
        <f>SUM(V12:AG12)/SUM(V2:AG2)</f>
        <v>0.446419192862819</v>
      </c>
      <c r="AH35" s="25">
        <f>SUM(W12:AH12)/SUM(W2:AH2)</f>
        <v>0.450258602667013</v>
      </c>
      <c r="AI35" s="25">
        <f>SUM(X12:AI12)/SUM(X2:AI2)</f>
        <v>0.450328116803207</v>
      </c>
      <c r="AJ35" s="25">
        <f>SUM(Y12:AJ12)/SUM(Y2:AJ2)</f>
        <v>0.453708685903193</v>
      </c>
      <c r="AK35" s="25">
        <f>SUM(Z12:AK12)/SUM(Z2:AK2)</f>
        <v>0.457362977406513</v>
      </c>
      <c r="AL35" s="25">
        <f>SUM(AA12:AL12)/SUM(AA2:AL2)</f>
        <v>0.452291127235072</v>
      </c>
      <c r="AM35" s="25">
        <f>SUM(AB12:AM12)/SUM(AB2:AM2)</f>
        <v>0.449317289723181</v>
      </c>
      <c r="AN35" s="25">
        <f>SUM(AC12:AN12)/SUM(AC2:AN2)</f>
        <v>0.457473590968326</v>
      </c>
      <c r="AO35" s="25">
        <f>SUM(AD12:AO12)/SUM(AD2:AO2)</f>
        <v>0.457847252727702</v>
      </c>
      <c r="AP35" s="25">
        <f>SUM(AE12:AP12)/SUM(AE2:AP2)</f>
        <v>0.460188420996081</v>
      </c>
      <c r="AQ35" s="25">
        <f>SUM(AF12:AQ12)/SUM(AF2:AQ2)</f>
        <v>0.461760673368578</v>
      </c>
      <c r="AR35" s="25">
        <f>SUM(AG12:AR12)/SUM(AG2:AR2)</f>
        <v>0.457932745423869</v>
      </c>
      <c r="AS35" s="25">
        <f>SUM(AH12:AS12)/SUM(AH2:AS2)</f>
        <v>0.457408462517869</v>
      </c>
      <c r="AT35" s="25">
        <f>SUM(AI12:AT12)/SUM(AI2:AT2)</f>
        <v>0.457712942443871</v>
      </c>
      <c r="AU35" s="25">
        <f>SUM(AJ12:AU12)/SUM(AJ2:AU2)</f>
        <v>0.455645890933212</v>
      </c>
      <c r="AV35" s="25">
        <f>SUM(AK12:AV12)/SUM(AK2:AV2)</f>
        <v>0.458767216678313</v>
      </c>
      <c r="AW35" s="25">
        <f>SUM(AL12:AW12)/SUM(AL2:AW2)</f>
        <v>0.456310986333947</v>
      </c>
      <c r="AX35" s="25">
        <f>SUM(AM12:AX12)/SUM(AM2:AX2)</f>
        <v>0.454713300939043</v>
      </c>
      <c r="AY35" s="25">
        <f>SUM(AN12:AY12)/SUM(AN2:AY2)</f>
        <v>0.463099020918722</v>
      </c>
      <c r="AZ35" s="25">
        <f>SUM(AO12:AZ12)/SUM(AO2:AZ2)</f>
        <v>0.465436250239552</v>
      </c>
      <c r="BA35" s="25">
        <f>SUM(AP12:BA12)/SUM(AP2:BA2)</f>
        <v>0.459503772644041</v>
      </c>
      <c r="BB35" s="25">
        <f>SUM(AQ12:BB12)/SUM(AQ2:BB2)</f>
        <v>0.458660784250561</v>
      </c>
      <c r="BC35" s="25">
        <f>SUM(AR12:BC12)/SUM(AR2:BC2)</f>
        <v>0.457690267759931</v>
      </c>
      <c r="BD35" s="25">
        <f>SUM(AS12:BD12)/SUM(AS2:BD2)</f>
        <v>0.461768627577894</v>
      </c>
      <c r="BE35" s="25">
        <f>SUM(AT12:BE12)/SUM(AT2:BE2)</f>
        <v>0.462594176830303</v>
      </c>
      <c r="BF35" s="25">
        <f>SUM(AU12:BF12)/SUM(AU2:BF2)</f>
        <v>0.464064359855589</v>
      </c>
      <c r="BG35" s="25">
        <f>SUM(AV12:BG12)/SUM(AV2:BG2)</f>
        <v>0.464076956950759</v>
      </c>
      <c r="BH35" s="25">
        <f>SUM(AW12:BH12)/SUM(AW2:BH2)</f>
        <v>0.457284855141579</v>
      </c>
      <c r="BI35" s="25">
        <f>SUM(AX12:BI12)/SUM(AX2:BI2)</f>
        <v>0.462061679671429</v>
      </c>
      <c r="BJ35" s="25">
        <f>SUM(AY12:BJ12)/SUM(AY2:BJ2)</f>
        <v>0.457932988480306</v>
      </c>
      <c r="BK35" s="25">
        <f>SUM(AZ12:BK12)/SUM(AZ2:BK2)</f>
        <v>0.456785390159345</v>
      </c>
      <c r="BL35" s="25">
        <f>SUM(BA12:BL12)/SUM(BA2:BL2)</f>
        <v>0.454481372294614</v>
      </c>
      <c r="BM35" s="25">
        <f>SUM(BB12:BM12)/SUM(BB2:BM2)</f>
        <v>0.45860956802902</v>
      </c>
      <c r="BN35" s="25">
        <f>SUM(BC12:BN12)/SUM(BC2:BN2)</f>
        <v>0.461483487033203</v>
      </c>
      <c r="BO35" s="25">
        <f>SUM(BD12:BO12)/SUM(BD2:BO2)</f>
        <v>0.462515981494029</v>
      </c>
      <c r="BP35" s="25">
        <f>SUM(BE12:BP12)/SUM(BE2:BP2)</f>
        <v>0.464544805842548</v>
      </c>
      <c r="BQ35" s="25">
        <f>SUM(BF12:BQ12)/SUM(BF2:BQ2)</f>
        <v>0.464354359278054</v>
      </c>
      <c r="BR35" s="25">
        <f>SUM(BG12:BR12)/SUM(BG2:BR2)</f>
        <v>0.466592224805651</v>
      </c>
      <c r="BS35" s="25">
        <f>SUM(BH12:BS12)/SUM(BH2:BS2)</f>
        <v>0.468103706346255</v>
      </c>
      <c r="BT35" s="25">
        <f>SUM(BI12:BT12)/SUM(BI2:BT2)</f>
        <v>0.474556092579945</v>
      </c>
      <c r="BU35" s="25">
        <f>SUM(BJ12:BU12)/SUM(BJ2:BU2)</f>
        <v>0.483963283306586</v>
      </c>
      <c r="BV35" s="25">
        <f>SUM(BK12:BV12)/SUM(BK2:BV2)</f>
        <v>0.486070460700089</v>
      </c>
      <c r="BW35" s="25">
        <f>SUM(BL12:BW12)/SUM(BL2:BW2)</f>
        <v>0.485650128823377</v>
      </c>
      <c r="BX35" s="25">
        <f>SUM(BM12:BX12)/SUM(BM2:BX2)</f>
        <v>0.485762200384758</v>
      </c>
      <c r="BY35" s="25">
        <f>SUM(BN12:BY12)/SUM(BN2:BY2)</f>
        <v>0.487905817314485</v>
      </c>
      <c r="BZ35" s="25">
        <f>SUM(BO12:BZ12)/SUM(BO2:BZ2)</f>
        <v>0.48512172078984</v>
      </c>
      <c r="CA35" s="25">
        <f>SUM(BP12:CA12)/SUM(BP2:CA2)</f>
        <v>0.48554168872815</v>
      </c>
      <c r="CB35" s="25">
        <f>SUM(BQ12:CB12)/SUM(BQ2:CB2)</f>
        <v>0.485176750789607</v>
      </c>
      <c r="CC35" s="25">
        <f>SUM(BR12:CC12)/SUM(BR2:CC2)</f>
        <v>0.485005358998867</v>
      </c>
      <c r="CD35" s="25">
        <f>SUM(BS12:CD12)/SUM(BS2:CD2)</f>
        <v>0.482354262976786</v>
      </c>
      <c r="CE35" s="25">
        <f>SUM(BT12:CE12)/SUM(BT2:CE2)</f>
        <v>0.483020720988859</v>
      </c>
      <c r="CF35" s="25">
        <f>SUM(BU12:CF12)/SUM(BU2:CF2)</f>
        <v>0.482774451648664</v>
      </c>
      <c r="CG35" s="25">
        <f>SUM(BV12:CG12)/SUM(BV2:CG2)</f>
        <v>0.474062411443275</v>
      </c>
      <c r="CH35" s="25">
        <f>SUM(BW12:CH12)/SUM(BW2:CH2)</f>
        <v>0.467581111585989</v>
      </c>
      <c r="CI35" s="25">
        <f>SUM(BX12:CI12)/SUM(BX2:CI2)</f>
        <v>0.468606381727538</v>
      </c>
      <c r="CJ35" s="25">
        <f>SUM(BY12:CJ12)/SUM(BY2:CJ2)</f>
        <v>0.468340265049267</v>
      </c>
      <c r="CK35" s="25">
        <f>SUM(BZ12:CK12)/SUM(BZ2:CK2)</f>
        <v>0.467041050891052</v>
      </c>
      <c r="CL35" s="25">
        <f>SUM(CA12:CL12)/SUM(CA2:CL2)</f>
        <v>0.471145155751234</v>
      </c>
      <c r="CM35" s="25">
        <f>SUM(CB12:CM12)/SUM(CB2:CM2)</f>
        <v>0.471932457776807</v>
      </c>
      <c r="CN35" s="25">
        <f>SUM(CC12:CN12)/SUM(CC2:CN2)</f>
        <v>0.472375259358068</v>
      </c>
      <c r="CO35" s="25">
        <f>SUM(CD12:CO12)/SUM(CD2:CO2)</f>
        <v>0.473723847677017</v>
      </c>
      <c r="CP35" s="25">
        <f>SUM(CE12:CP12)/SUM(CE2:CP2)</f>
        <v>0.476541920632495</v>
      </c>
      <c r="CQ35" s="25">
        <f>SUM(CF12:CQ12)/SUM(CF2:CQ2)</f>
        <v>0.462236722854964</v>
      </c>
      <c r="CR35" s="25">
        <f>SUM(CG12:CR12)/SUM(CG2:CR2)</f>
        <v>0.467201238439392</v>
      </c>
      <c r="CS35" s="25">
        <f>SUM(CH12:CS12)/SUM(CH2:CS2)</f>
        <v>0.478203927161776</v>
      </c>
      <c r="CT35" s="25">
        <f>SUM(CI12:CT12)/SUM(CI2:CT2)</f>
        <v>0.477827382497962</v>
      </c>
      <c r="CU35" s="25">
        <f>SUM(CJ12:CU12)/SUM(CJ2:CU2)</f>
        <v>0.479548670939025</v>
      </c>
      <c r="CV35" s="25">
        <f>SUM(CK12:CV12)/SUM(CK2:CV2)</f>
        <v>0.48064127443395</v>
      </c>
      <c r="CW35" s="25">
        <f>SUM(CL12:CW12)/SUM(CL2:CW2)</f>
        <v>0.480668672976813</v>
      </c>
      <c r="CX35" s="25">
        <f>SUM(CM12:CX12)/SUM(CM2:CX2)</f>
        <v>0.480398687186322</v>
      </c>
      <c r="CY35" s="25">
        <f>SUM(CN12:CY12)/SUM(CN2:CY2)</f>
        <v>0.480323657291653</v>
      </c>
      <c r="CZ35" s="25">
        <f>SUM(CO12:CZ12)/SUM(CO2:CZ2)</f>
        <v>0.483400762611277</v>
      </c>
      <c r="DA35" s="25">
        <f>SUM(CP12:DA12)/SUM(CP2:DA2)</f>
        <v>0.48217154137083</v>
      </c>
      <c r="DB35" s="25">
        <f>SUM(CQ12:DB12)/SUM(CQ2:DB2)</f>
        <v>0.480267726916963</v>
      </c>
      <c r="DC35" s="25">
        <f>SUM(CR12:DC12)/SUM(CR2:DC2)</f>
        <v>0.493216739900937</v>
      </c>
      <c r="DD35" s="25">
        <f>SUM(CS12:DD12)/SUM(CS2:DD2)</f>
        <v>0.485052783702164</v>
      </c>
      <c r="DE35" s="25">
        <f>SUM(CT12:DE12)/SUM(CT2:DE2)</f>
        <v>0.483447475012061</v>
      </c>
      <c r="DF35" s="25">
        <f>SUM(CU12:DF12)/SUM(CU2:DF2)</f>
        <v>0.484216013305658</v>
      </c>
      <c r="DG35" s="25">
        <f>SUM(CV12:DG12)/SUM(CV2:DG2)</f>
        <v>0.484054692365375</v>
      </c>
      <c r="DH35" s="25">
        <f>SUM(CW12:DH12)/SUM(CW2:DH2)</f>
        <v>0.487025712028581</v>
      </c>
      <c r="DI35" s="25">
        <f>SUM(CX12:DI12)/SUM(CX2:DI2)</f>
        <v>0.484538837545197</v>
      </c>
      <c r="DJ35" s="25">
        <f>SUM(CY12:DJ12)/SUM(CY2:DJ2)</f>
        <v>0.482117535048769</v>
      </c>
      <c r="DK35" s="25">
        <f>SUM(CZ12:DK12)/SUM(CZ2:DK2)</f>
        <v>0.483883600858511</v>
      </c>
      <c r="DL35" s="25">
        <f>SUM(DA12:DL12)/SUM(DA2:DL2)</f>
        <v>0.480424095574078</v>
      </c>
      <c r="DM35" s="25">
        <f>SUM(DB12:DM12)/SUM(DB2:DM2)</f>
        <v>0.482254041582757</v>
      </c>
      <c r="DN35" s="25">
        <f>SUM(DC12:DN12)/SUM(DC2:DN2)</f>
        <v>0.48119702076979</v>
      </c>
      <c r="DO35" s="25">
        <f>SUM(DD12:DO12)/SUM(DD2:DO2)</f>
        <v>0.479100174914366</v>
      </c>
      <c r="DP35" s="25">
        <f>SUM(DE12:DP12)/SUM(DE2:DP2)</f>
        <v>0.48162301524239</v>
      </c>
      <c r="DQ35" s="25">
        <f>SUM(DF12:DQ12)/SUM(DF2:DQ2)</f>
        <v>0.475569434380779</v>
      </c>
      <c r="DR35" s="25">
        <f>SUM(DG12:DR12)/SUM(DG2:DR2)</f>
        <v>0.478408100986626</v>
      </c>
      <c r="DS35" s="25">
        <f>SUM(DH12:DS12)/SUM(DH2:DS2)</f>
        <v>0.477356576499142</v>
      </c>
      <c r="DT35" s="25">
        <f>SUM(DI12:DT12)/SUM(DI2:DT2)</f>
        <v>0.476350110759207</v>
      </c>
      <c r="DU35" s="25">
        <f>SUM(DJ12:DU12)/SUM(DJ2:DU2)</f>
        <v>0.47664778648843</v>
      </c>
      <c r="DV35" s="25">
        <f>SUM(DK12:DV12)/SUM(DK2:DV2)</f>
        <v>0.478622875595621</v>
      </c>
      <c r="DW35" s="25">
        <f>SUM(DL12:DW12)/SUM(DL2:DW2)</f>
        <v>0.478305115138002</v>
      </c>
      <c r="DX35" s="25">
        <f>SUM(DM12:DX12)/SUM(DM2:DX2)</f>
        <v>0.477187403404487</v>
      </c>
      <c r="DY35" s="25">
        <f>SUM(DN12:DY12)/SUM(DN2:DY2)</f>
        <v>0.477878291030447</v>
      </c>
      <c r="DZ35" s="25">
        <f>SUM(DO12:DZ12)/SUM(DO2:DZ2)</f>
        <v>0.477789276787239</v>
      </c>
      <c r="EA35" s="25">
        <f>SUM(DP12:EA12)/SUM(DP2:EA2)</f>
        <v>0.477426407457994</v>
      </c>
      <c r="EB35" s="25">
        <f>SUM(DQ12:EB12)/SUM(DQ2:EB2)</f>
        <v>0.47672477682635</v>
      </c>
      <c r="EC35" s="25">
        <f>SUM(DR12:EC12)/SUM(DR2:EC2)</f>
        <v>0.464427906059875</v>
      </c>
      <c r="ED35" s="25">
        <f>SUM(DS12:ED12)/SUM(DS2:ED2)</f>
        <v>0.460041088379235</v>
      </c>
      <c r="EE35" s="25">
        <f>SUM(DT12:EE12)/SUM(DT2:EE2)</f>
        <v>0.462593220253974</v>
      </c>
      <c r="EF35" s="25">
        <f>SUM(DU12:EF12)/SUM(DU2:EF2)</f>
        <v>0.46488338693311</v>
      </c>
      <c r="EG35" s="25">
        <f>SUM(DV12:EG12)/SUM(DV2:EG2)</f>
        <v>0.468554567198082</v>
      </c>
      <c r="EH35" s="25">
        <f>SUM(DW12:EH12)/SUM(DW2:EH2)</f>
        <v>0.470096096861841</v>
      </c>
      <c r="EI35" s="25">
        <f>SUM(DX12:EI12)/SUM(DX2:EI2)</f>
        <v>0.478057059507648</v>
      </c>
      <c r="EJ35" s="25">
        <f>SUM(DY12:EJ12)/SUM(DY2:EJ2)</f>
        <v>0.496929341443726</v>
      </c>
      <c r="EK35" s="25">
        <f>SUM(DZ12:EK12)/SUM(DZ2:EK2)</f>
        <v>0.509137357738509</v>
      </c>
      <c r="EL35" s="25">
        <f>SUM(EA12:EL12)/SUM(EA2:EL2)</f>
        <v>0.521627532557615</v>
      </c>
      <c r="EM35" s="25">
        <f>SUM(EB12:EM12)/SUM(EB2:EM2)</f>
        <v>0.526764585919737</v>
      </c>
      <c r="EN35" s="25">
        <f>SUM(EC12:EN12)/SUM(EC2:EN2)</f>
        <v>0.530021277579319</v>
      </c>
      <c r="EO35" s="25">
        <f>SUM(ED12:EO12)/SUM(ED2:EO2)</f>
        <v>0.569301005807253</v>
      </c>
      <c r="EP35" s="25">
        <f>SUM(EE12:EP12)/SUM(EE2:EP2)</f>
        <v>0.552949192581471</v>
      </c>
      <c r="EQ35" s="25">
        <f>SUM(EF12:EQ12)/SUM(EF2:EQ2)</f>
        <v>0.549749144272511</v>
      </c>
      <c r="ER35" s="25">
        <f>SUM(EG12:ER12)/SUM(EG2:ER2)</f>
        <v>0.543652714208092</v>
      </c>
      <c r="ES35" s="25">
        <f>SUM(EH12:ES12)/SUM(EH2:ES2)</f>
        <v>0.535284964479456</v>
      </c>
      <c r="ET35" s="25">
        <f>SUM(EI12:ET12)/SUM(EI2:ET2)</f>
        <v>0.526984592181833</v>
      </c>
      <c r="EU35" s="25">
        <f>SUM(EJ12:EU12)/SUM(EJ2:EU2)</f>
        <v>0.518832216322843</v>
      </c>
      <c r="EV35" s="25">
        <f>SUM(EK12:EV12)/SUM(EK2:EV2)</f>
        <v>0.501711024503232</v>
      </c>
      <c r="EW35" s="25">
        <f>SUM(EL12:EW12)/SUM(EL2:EW2)</f>
        <v>0.491823398793983</v>
      </c>
      <c r="EX35" s="25">
        <f>SUM(EM12:EX12)/SUM(EM2:EX2)</f>
        <v>0.482757159007653</v>
      </c>
    </row>
    <row ht="12.8" outlineLevel="0" r="41">
      <c r="AF41" s="4" t="s">
        <v>428</v>
      </c>
    </row>
    <row ht="12.8" customHeight="1" outlineLevel="0" r="43">
      <c r="T43" s="27" t="s">
        <v>429</v>
      </c>
    </row>
    <row ht="12.8" outlineLevel="0" r="44">
      <c r="T44" s="27"/>
    </row>
    <row ht="12.8" outlineLevel="0" r="45">
      <c r="T45" s="27"/>
    </row>
    <row ht="12.8" outlineLevel="0" r="46">
      <c r="T46" s="27"/>
    </row>
    <row ht="12.8" outlineLevel="0" r="47">
      <c r="T47" s="27"/>
    </row>
    <row ht="12.8" outlineLevel="0" r="48">
      <c r="T48" s="27"/>
    </row>
    <row ht="12.8" outlineLevel="0" r="49">
      <c r="T49" s="27"/>
    </row>
    <row ht="12.8" outlineLevel="0" r="50">
      <c r="T50" s="27"/>
    </row>
  </sheetData>
  <mergeCells count="2">
    <mergeCell ref="B29:C29"/>
    <mergeCell ref="T43:T50"/>
  </mergeCells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00B050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2"/>
  <cols>
    <col min="1" max="1" width="23.89" style="28" customWidth="1"/>
    <col min="2" max="11" width="7.83" style="28" customWidth="1"/>
    <col min="12" max="12" width="9.72" style="28" customWidth="1"/>
    <col min="13" max="13" width="9.72" style="29" customWidth="1"/>
    <col min="14" max="14" width="8.37" style="29" customWidth="1"/>
    <col min="15" max="15" width="9.72" style="28" customWidth="1"/>
    <col min="16" max="17" width="8.64" style="28" customWidth="1"/>
    <col min="18" max="18" width="11.74" style="28" customWidth="1"/>
    <col min="19" max="19" width="9.72" style="28" customWidth="1"/>
    <col min="20" max="23" width="8.64" style="28" customWidth="1"/>
    <col min="24" max="24" width="8.91" style="28" customWidth="1"/>
    <col min="25" max="25" width="8.64" style="28" customWidth="1"/>
    <col min="26" max="26" width="8.91" style="28" customWidth="1"/>
    <col min="27" max="27" width="2.97" style="28" customWidth="1"/>
    <col min="28" max="1025" width="8.64" style="28" customWidth="1"/>
  </cols>
  <sheetData>
    <row ht="12.8" outlineLevel="0" r="1">
      <c r="A1" s="30" t="s">
        <v>430</v>
      </c>
      <c r="B1" s="30">
        <v>2007</v>
      </c>
      <c r="C1" s="30">
        <v>2008</v>
      </c>
      <c r="D1" s="30">
        <v>2009</v>
      </c>
      <c r="E1" s="30">
        <v>2010</v>
      </c>
      <c r="F1" s="30">
        <v>2011</v>
      </c>
      <c r="G1" s="30">
        <v>2012</v>
      </c>
      <c r="H1" s="30">
        <v>2013</v>
      </c>
      <c r="I1" s="30">
        <v>2014</v>
      </c>
      <c r="J1" s="30">
        <v>2015</v>
      </c>
      <c r="K1" s="30">
        <v>2016</v>
      </c>
      <c r="L1" s="30">
        <v>2017</v>
      </c>
      <c r="M1" s="30">
        <v>2018</v>
      </c>
      <c r="N1" s="30"/>
      <c r="O1" s="30">
        <v>2019</v>
      </c>
    </row>
    <row ht="12.8" outlineLevel="0" r="2">
      <c r="A2" s="31" t="s">
        <v>431</v>
      </c>
      <c r="B2" s="32">
        <v>658884416.59</v>
      </c>
      <c r="C2" s="32">
        <v>754735516.64</v>
      </c>
      <c r="D2" s="32">
        <v>775406758.51</v>
      </c>
      <c r="E2" s="32">
        <v>890137032.95</v>
      </c>
      <c r="F2" s="32">
        <v>1029613467.82</v>
      </c>
      <c r="G2" s="32">
        <v>1134717334.75</v>
      </c>
      <c r="H2" s="32">
        <v>1219645809.02</v>
      </c>
      <c r="I2" s="32">
        <v>1243280132.16</v>
      </c>
      <c r="J2" s="32">
        <v>1282514801.615</v>
      </c>
      <c r="K2" s="32">
        <v>1360549861.261</v>
      </c>
      <c r="L2" s="32">
        <v>1407900047.336</v>
      </c>
      <c r="M2" s="33">
        <f>RCL!DQ30</f>
        <v>1535662595.325</v>
      </c>
      <c r="N2" s="33"/>
      <c r="O2" s="33">
        <f>RCL!DR30</f>
        <v>1537529773.294</v>
      </c>
    </row>
    <row ht="12.8" outlineLevel="0" r="3">
      <c r="A3" s="31" t="s">
        <v>325</v>
      </c>
      <c r="B3" s="32">
        <v>272202559.38</v>
      </c>
      <c r="C3" s="32">
        <v>326172228.72</v>
      </c>
      <c r="D3" s="32">
        <v>338206422.18</v>
      </c>
      <c r="E3" s="32">
        <v>390270419.99</v>
      </c>
      <c r="F3" s="32">
        <v>470907081.22</v>
      </c>
      <c r="G3" s="32">
        <v>517783986.23</v>
      </c>
      <c r="H3" s="32">
        <v>563551591.12</v>
      </c>
      <c r="I3" s="32">
        <v>601701934.83</v>
      </c>
      <c r="J3" s="32">
        <v>607992059.5653</v>
      </c>
      <c r="K3" s="32">
        <v>650620286.75442</v>
      </c>
      <c r="L3" s="32">
        <v>680645723.36468</v>
      </c>
      <c r="M3" s="33">
        <f>RCL!DQ31</f>
        <v>730314191.85843</v>
      </c>
      <c r="N3" s="33"/>
      <c r="O3" s="33">
        <f>RCL!DR31</f>
        <v>735566699.05198</v>
      </c>
    </row>
    <row ht="12.8" outlineLevel="0" r="4">
      <c r="A4" s="34" t="s">
        <v>432</v>
      </c>
      <c r="B4" s="35">
        <f>+B2-B3</f>
        <v>386681857.21</v>
      </c>
      <c r="C4" s="35">
        <v>428563287.92</v>
      </c>
      <c r="D4" s="35">
        <v>437200336.33</v>
      </c>
      <c r="E4" s="35">
        <v>499866612.96</v>
      </c>
      <c r="F4" s="35">
        <v>558706386.6</v>
      </c>
      <c r="G4" s="35">
        <v>616933348.52</v>
      </c>
      <c r="H4" s="35">
        <v>656094217.9</v>
      </c>
      <c r="I4" s="35">
        <v>641578197.33</v>
      </c>
      <c r="J4" s="35">
        <v>674522742.0497</v>
      </c>
      <c r="K4" s="35">
        <v>709929574.50658</v>
      </c>
      <c r="L4" s="35">
        <v>727254323.97132</v>
      </c>
      <c r="M4" s="35">
        <f>RCL!DQ25/1000</f>
        <v>805348403.46657</v>
      </c>
      <c r="N4" s="35"/>
      <c r="O4" s="35">
        <f>RCL!DR25/1000</f>
        <v>801963074.24202</v>
      </c>
    </row>
    <row ht="12.8" outlineLevel="0" r="6">
      <c r="A6" s="34" t="s">
        <v>433</v>
      </c>
      <c r="B6" s="34">
        <v>2007</v>
      </c>
      <c r="C6" s="34">
        <v>2008</v>
      </c>
      <c r="D6" s="34">
        <v>2009</v>
      </c>
      <c r="E6" s="34">
        <v>2010</v>
      </c>
      <c r="F6" s="34">
        <v>2011</v>
      </c>
      <c r="L6" s="36"/>
    </row>
    <row ht="12.8" outlineLevel="0" r="7">
      <c r="A7" s="31" t="s">
        <v>434</v>
      </c>
      <c r="B7" s="32">
        <f>+B2/1000000</f>
        <v>658.88441659</v>
      </c>
      <c r="C7" s="32">
        <f>+C2/1000000</f>
        <v>754.73551664</v>
      </c>
      <c r="D7" s="32">
        <f>+D2/1000000</f>
        <v>775.40675851</v>
      </c>
      <c r="E7" s="32">
        <f>+E2/1000000</f>
        <v>890.13703295</v>
      </c>
      <c r="F7" s="32">
        <f>+F2/1000000</f>
        <v>1029.61346782</v>
      </c>
      <c r="L7" s="37"/>
    </row>
    <row ht="12.8" outlineLevel="0" r="8">
      <c r="A8" s="28" t="s">
        <v>300</v>
      </c>
      <c r="B8" s="38">
        <v>200</v>
      </c>
      <c r="C8" s="38">
        <v>254</v>
      </c>
      <c r="D8" s="38">
        <v>241</v>
      </c>
      <c r="E8" s="38">
        <v>282</v>
      </c>
      <c r="F8" s="38">
        <v>339</v>
      </c>
    </row>
    <row ht="12.8" outlineLevel="0" r="9">
      <c r="A9" s="28" t="s">
        <v>301</v>
      </c>
      <c r="B9" s="38">
        <v>365</v>
      </c>
      <c r="C9" s="38">
        <v>382</v>
      </c>
      <c r="D9" s="38">
        <v>400</v>
      </c>
      <c r="E9" s="38">
        <v>475</v>
      </c>
      <c r="F9" s="38">
        <v>545</v>
      </c>
      <c r="J9" s="39"/>
    </row>
    <row ht="12.8" outlineLevel="0" r="10">
      <c r="A10" s="28" t="s">
        <v>302</v>
      </c>
      <c r="B10" s="38">
        <v>35</v>
      </c>
      <c r="C10" s="38">
        <v>54</v>
      </c>
      <c r="D10" s="38">
        <v>59</v>
      </c>
      <c r="E10" s="38">
        <v>65</v>
      </c>
      <c r="F10" s="38">
        <v>66</v>
      </c>
    </row>
    <row ht="10.5" customHeight="1" outlineLevel="0" r="11">
      <c r="A11" s="28" t="s">
        <v>303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</row>
    <row ht="12.8" hidden="1" outlineLevel="0" r="12">
      <c r="A12" s="28" t="s">
        <v>304</v>
      </c>
      <c r="B12" s="38">
        <v>0</v>
      </c>
      <c r="C12" s="38">
        <v>0</v>
      </c>
      <c r="D12" s="38">
        <v>0</v>
      </c>
      <c r="E12" s="38">
        <v>1</v>
      </c>
      <c r="F12" s="38">
        <v>1</v>
      </c>
    </row>
    <row ht="12.8" hidden="1" outlineLevel="0" r="13">
      <c r="A13" s="28" t="s">
        <v>305</v>
      </c>
      <c r="B13" s="38">
        <v>27</v>
      </c>
      <c r="C13" s="38">
        <v>30</v>
      </c>
      <c r="D13" s="38">
        <v>35</v>
      </c>
      <c r="E13" s="38">
        <v>41</v>
      </c>
      <c r="F13" s="38">
        <v>48</v>
      </c>
    </row>
    <row ht="21" customHeight="1" outlineLevel="0" r="14">
      <c r="A14" s="28" t="s">
        <v>306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M14" s="40" t="e">
        <f>CONCATENATE("O gráfico abaixo mostra a evolução da RCL, apontando um crescimento nominal em todo o período dos últimos 12 anos."," Entretanto, a partir de 2012, percebe-se uma redução no ritmo desse crescimento. Em relação ao PIB, houve quedas sucessivas da RCL desde 2008, passando de 13,8% para 11,1% em 2017."," Houve recuperação em 2018 e 2019. A partir de 2020, houve queda acentuada, correspondendo a ",TEXT(rcl_pib,"0,0%")," do PIB em ",TEXT(mes_ref,"mmmm")," de ",TEXT(mes_ref,"aaaa"),"." )</f>
        <v>#NAME?</v>
      </c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ht="21" customHeight="1" outlineLevel="0" r="15">
      <c r="A15" s="28" t="s">
        <v>435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ht="21" customHeight="1" outlineLevel="0" r="16">
      <c r="A16" s="28" t="s">
        <v>308</v>
      </c>
      <c r="B16" s="38">
        <v>32</v>
      </c>
      <c r="C16" s="38">
        <v>35</v>
      </c>
      <c r="D16" s="38">
        <v>40</v>
      </c>
      <c r="E16" s="38">
        <v>26</v>
      </c>
      <c r="F16" s="38">
        <v>31</v>
      </c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ht="21" customHeight="1" outlineLevel="0" r="17">
      <c r="A17" s="28" t="s">
        <v>436</v>
      </c>
      <c r="B17" s="38">
        <f>SUM(B10:B16)</f>
        <v>94</v>
      </c>
      <c r="C17" s="38">
        <f>SUM(C10:C16)</f>
        <v>119</v>
      </c>
      <c r="D17" s="38">
        <f>SUM(D10:D16)</f>
        <v>134</v>
      </c>
      <c r="E17" s="38">
        <f>SUM(E10:E16)</f>
        <v>133</v>
      </c>
      <c r="F17" s="38">
        <f>SUM(F10:F16)</f>
        <v>146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ht="12.8" outlineLevel="0" r="18">
      <c r="A18" s="31" t="s">
        <v>325</v>
      </c>
      <c r="B18" s="32">
        <f>+B3/1000000</f>
        <v>272.20255938</v>
      </c>
      <c r="C18" s="32">
        <f>+C3/1000000</f>
        <v>326.17222872</v>
      </c>
      <c r="D18" s="32">
        <f>+D3/1000000</f>
        <v>338.20642218</v>
      </c>
      <c r="E18" s="32">
        <f>+E3/1000000</f>
        <v>390.27041999</v>
      </c>
      <c r="F18" s="32">
        <f>+F3/1000000</f>
        <v>470.90708122</v>
      </c>
      <c r="H18" s="31"/>
    </row>
    <row ht="12.8" outlineLevel="0" r="19">
      <c r="A19" s="28" t="s">
        <v>437</v>
      </c>
      <c r="B19" s="38">
        <v>108</v>
      </c>
      <c r="C19" s="38">
        <v>137</v>
      </c>
      <c r="D19" s="38">
        <v>129</v>
      </c>
      <c r="E19" s="38">
        <v>145</v>
      </c>
      <c r="F19" s="38">
        <v>173</v>
      </c>
    </row>
    <row ht="12.8" outlineLevel="0" r="20">
      <c r="A20" s="28" t="s">
        <v>438</v>
      </c>
      <c r="B20" s="38">
        <v>131</v>
      </c>
      <c r="C20" s="38">
        <v>150</v>
      </c>
      <c r="D20" s="38">
        <v>169</v>
      </c>
      <c r="E20" s="38">
        <v>194</v>
      </c>
      <c r="F20" s="38">
        <v>245</v>
      </c>
      <c r="P20" s="41"/>
      <c r="R20" s="41" t="s">
        <v>439</v>
      </c>
    </row>
    <row ht="12.8" outlineLevel="0" r="21">
      <c r="A21" s="28" t="s">
        <v>440</v>
      </c>
      <c r="B21" s="38">
        <v>6</v>
      </c>
      <c r="C21" s="38">
        <v>7</v>
      </c>
      <c r="D21" s="38">
        <v>7</v>
      </c>
      <c r="E21" s="38">
        <v>9</v>
      </c>
      <c r="F21" s="38">
        <v>9</v>
      </c>
      <c r="P21" s="41"/>
      <c r="R21" s="41" t="s">
        <v>441</v>
      </c>
    </row>
    <row ht="12.8" outlineLevel="0" r="22">
      <c r="A22" s="28" t="s">
        <v>315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P22" s="41"/>
      <c r="R22" s="41" t="s">
        <v>442</v>
      </c>
    </row>
    <row ht="12.8" outlineLevel="0" r="23">
      <c r="A23" s="28" t="s">
        <v>316</v>
      </c>
      <c r="B23" s="38">
        <v>1</v>
      </c>
      <c r="C23" s="38">
        <v>1</v>
      </c>
      <c r="D23" s="38">
        <v>2</v>
      </c>
      <c r="E23" s="38">
        <v>2</v>
      </c>
      <c r="F23" s="38">
        <v>2</v>
      </c>
    </row>
    <row ht="12.8" outlineLevel="0" r="24">
      <c r="A24" s="28" t="s">
        <v>317</v>
      </c>
      <c r="B24" s="38">
        <v>26</v>
      </c>
      <c r="C24" s="38">
        <v>31</v>
      </c>
      <c r="D24" s="38">
        <v>31</v>
      </c>
      <c r="E24" s="38">
        <v>40</v>
      </c>
      <c r="F24" s="38">
        <v>42</v>
      </c>
    </row>
    <row ht="12.8" outlineLevel="0" r="25">
      <c r="A25" s="28" t="s">
        <v>443</v>
      </c>
      <c r="B25" s="38">
        <f>SUM(B21:B24)</f>
        <v>33</v>
      </c>
      <c r="C25" s="38">
        <f>SUM(C21:C24)</f>
        <v>39</v>
      </c>
      <c r="D25" s="38">
        <f>SUM(D21:D24)</f>
        <v>40</v>
      </c>
      <c r="E25" s="38">
        <f>SUM(E21:E24)</f>
        <v>51</v>
      </c>
      <c r="F25" s="38">
        <f>SUM(F21:F24)</f>
        <v>53</v>
      </c>
    </row>
    <row ht="12.8" outlineLevel="0" r="26">
      <c r="A26" s="34" t="s">
        <v>444</v>
      </c>
      <c r="B26" s="35">
        <f>+B7-B18</f>
        <v>386.68185721</v>
      </c>
      <c r="C26" s="35">
        <f>+C7-C18</f>
        <v>428.56328792</v>
      </c>
      <c r="D26" s="35">
        <f>+D7-D18</f>
        <v>437.20033633</v>
      </c>
      <c r="E26" s="35">
        <f>+E7-E18</f>
        <v>499.86661296</v>
      </c>
      <c r="F26" s="35">
        <f>+F7-F18</f>
        <v>558.7063866</v>
      </c>
    </row>
    <row ht="12.8" outlineLevel="0" r="28">
      <c r="A28" s="34" t="s">
        <v>433</v>
      </c>
      <c r="B28" s="34">
        <v>2012</v>
      </c>
      <c r="C28" s="34">
        <v>2013</v>
      </c>
      <c r="D28" s="34">
        <v>2014</v>
      </c>
      <c r="E28" s="34">
        <v>2015</v>
      </c>
      <c r="F28" s="34">
        <v>2016</v>
      </c>
      <c r="G28" s="34">
        <v>2017</v>
      </c>
      <c r="H28" s="34">
        <v>2018</v>
      </c>
      <c r="I28" s="34">
        <v>2019</v>
      </c>
      <c r="J28" s="34">
        <v>2020</v>
      </c>
      <c r="K28" s="34">
        <v>2021</v>
      </c>
    </row>
    <row ht="12.8" outlineLevel="0" r="29">
      <c r="A29" s="28" t="s">
        <v>434</v>
      </c>
      <c r="B29" s="38">
        <f>+G2/1000000</f>
        <v>1134.71733475</v>
      </c>
      <c r="C29" s="38">
        <f>+H2/1000000</f>
        <v>1219.64580902</v>
      </c>
      <c r="D29" s="38">
        <f>+I2/1000000</f>
        <v>1243.28013216</v>
      </c>
      <c r="E29" s="38">
        <f>+J2/1000000</f>
        <v>1282.514801615</v>
      </c>
      <c r="F29" s="38">
        <f>+K2/1000000</f>
        <v>1360.549861261</v>
      </c>
      <c r="G29" s="38">
        <f>+L2/1000000</f>
        <v>1407.900047336</v>
      </c>
      <c r="H29" s="38">
        <v>1535.662595325</v>
      </c>
      <c r="I29" s="38">
        <v>1691.011536713</v>
      </c>
      <c r="J29" s="38">
        <f>SUM(RCL!ED2:EO2)/1000000</f>
        <v>1513.686530086</v>
      </c>
      <c r="K29" s="42">
        <f>[3]Anexo_3!$N11/1000000</f>
        <v>1877.963552796</v>
      </c>
    </row>
    <row ht="12.8" outlineLevel="0" r="30">
      <c r="A30" s="28" t="s">
        <v>300</v>
      </c>
      <c r="B30" s="38">
        <v>348</v>
      </c>
      <c r="C30" s="38">
        <v>376</v>
      </c>
      <c r="D30" s="38">
        <v>400</v>
      </c>
      <c r="E30" s="38">
        <v>425</v>
      </c>
      <c r="F30" s="38">
        <v>459</v>
      </c>
      <c r="G30" s="38">
        <v>464.984461185</v>
      </c>
      <c r="H30" s="43">
        <v>507.174142212</v>
      </c>
      <c r="I30" s="43">
        <v>545.808990701</v>
      </c>
      <c r="J30" s="38">
        <f>SUM(RCL!ED3:EO3)/1000000</f>
        <v>516.831237083</v>
      </c>
      <c r="K30" s="42">
        <f>[3]Anexo_3!$N12/1000000</f>
        <v>662.708434476</v>
      </c>
    </row>
    <row ht="12.8" outlineLevel="0" r="31">
      <c r="A31" s="28" t="s">
        <v>301</v>
      </c>
      <c r="B31" s="38">
        <v>590</v>
      </c>
      <c r="C31" s="38">
        <v>643</v>
      </c>
      <c r="D31" s="38">
        <v>671</v>
      </c>
      <c r="E31" s="38">
        <v>688</v>
      </c>
      <c r="F31" s="38">
        <v>730</v>
      </c>
      <c r="G31" s="44">
        <v>799.732985808</v>
      </c>
      <c r="H31" s="43">
        <v>844.483544948</v>
      </c>
      <c r="I31" s="43">
        <v>853.403750008</v>
      </c>
      <c r="J31" s="38">
        <f>SUM(RCL!ED4:EO4)/1000000</f>
        <v>825.602244073</v>
      </c>
      <c r="K31" s="42">
        <f>[3]Anexo_3!$N13/1000000</f>
        <v>982.994532107</v>
      </c>
    </row>
    <row ht="12.8" outlineLevel="0" r="32">
      <c r="A32" s="28" t="s">
        <v>302</v>
      </c>
      <c r="B32" s="38">
        <v>81</v>
      </c>
      <c r="C32" s="38">
        <v>85</v>
      </c>
      <c r="D32" s="38">
        <v>82</v>
      </c>
      <c r="E32" s="38">
        <v>66</v>
      </c>
      <c r="F32" s="38">
        <v>74</v>
      </c>
      <c r="G32" s="44">
        <v>99.907572612</v>
      </c>
      <c r="H32" s="43">
        <v>111.84574598</v>
      </c>
      <c r="I32" s="43">
        <v>202.455720337</v>
      </c>
      <c r="J32" s="38">
        <f>SUM(RCL!ED5:EO5)/1000000</f>
        <v>94.50159472</v>
      </c>
      <c r="K32" s="42">
        <f>[3]Anexo_3!$N14/1000000</f>
        <v>136.082580579</v>
      </c>
    </row>
    <row ht="12.8" outlineLevel="0" r="33">
      <c r="A33" s="28" t="s">
        <v>303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44">
        <v>0.018957157</v>
      </c>
      <c r="H33" s="43">
        <v>0.020718544</v>
      </c>
      <c r="I33" s="43">
        <v>0.02207571</v>
      </c>
      <c r="J33" s="38">
        <f>SUM(RCL!ED6:EO6)/1000000</f>
        <v>0.02149388</v>
      </c>
      <c r="K33" s="42">
        <f>[3]Anexo_3!$N15/1000000</f>
        <v>0.029801124</v>
      </c>
    </row>
    <row ht="12.8" outlineLevel="0" r="34">
      <c r="A34" s="28" t="s">
        <v>304</v>
      </c>
      <c r="B34" s="38">
        <v>1</v>
      </c>
      <c r="C34" s="38">
        <v>1</v>
      </c>
      <c r="D34" s="38">
        <v>1</v>
      </c>
      <c r="E34" s="38">
        <v>1</v>
      </c>
      <c r="F34" s="38">
        <v>1</v>
      </c>
      <c r="G34" s="44">
        <v>0.880985662</v>
      </c>
      <c r="H34" s="43">
        <v>2.056106529</v>
      </c>
      <c r="I34" s="43">
        <v>1.605981426</v>
      </c>
      <c r="J34" s="38">
        <f>SUM(RCL!ED7:EO7)/1000000</f>
        <v>1.592488714</v>
      </c>
      <c r="K34" s="42">
        <f>[3]Anexo_3!$N16/1000000</f>
        <v>1.767283017</v>
      </c>
    </row>
    <row ht="12.8" outlineLevel="0" r="35">
      <c r="A35" s="28" t="s">
        <v>305</v>
      </c>
      <c r="B35" s="38">
        <v>48</v>
      </c>
      <c r="C35" s="38">
        <v>50</v>
      </c>
      <c r="D35" s="38">
        <v>42</v>
      </c>
      <c r="E35" s="38">
        <v>44</v>
      </c>
      <c r="F35" s="38">
        <v>41</v>
      </c>
      <c r="G35" s="44">
        <v>38.325131614</v>
      </c>
      <c r="H35" s="43">
        <v>42.4816953</v>
      </c>
      <c r="I35" s="43">
        <v>56.702542037</v>
      </c>
      <c r="J35" s="38">
        <f>SUM(RCL!ED8:EO8)/1000000</f>
        <v>36.259555939</v>
      </c>
      <c r="K35" s="42">
        <f>[3]Anexo_3!$N17/1000000</f>
        <v>45.897261226</v>
      </c>
    </row>
    <row ht="12.8" outlineLevel="0" r="36">
      <c r="A36" s="28" t="s">
        <v>306</v>
      </c>
      <c r="B36" s="38">
        <v>1</v>
      </c>
      <c r="C36" s="38">
        <v>1</v>
      </c>
      <c r="D36" s="38">
        <v>1</v>
      </c>
      <c r="E36" s="38">
        <v>1</v>
      </c>
      <c r="F36" s="38">
        <v>1</v>
      </c>
      <c r="G36" s="44">
        <v>1.387467964</v>
      </c>
      <c r="H36" s="43">
        <v>1.235082435</v>
      </c>
      <c r="I36" s="43">
        <v>1.257720623</v>
      </c>
      <c r="J36" s="38">
        <f>SUM(RCL!ED9:EO9)/1000000</f>
        <v>0.573568887</v>
      </c>
      <c r="K36" s="42">
        <f>[3]Anexo_3!$N18/10000000</f>
        <v>0.0647216492</v>
      </c>
    </row>
    <row ht="12.8" outlineLevel="0" r="37">
      <c r="A37" s="28" t="s">
        <v>435</v>
      </c>
      <c r="B37" s="38">
        <v>0</v>
      </c>
      <c r="C37" s="38">
        <v>0</v>
      </c>
      <c r="D37" s="38">
        <v>0</v>
      </c>
      <c r="E37" s="38">
        <v>9</v>
      </c>
      <c r="F37" s="38">
        <v>7</v>
      </c>
      <c r="G37" s="44">
        <v>-34.592708214</v>
      </c>
      <c r="H37" s="43">
        <v>5.1718e-05</v>
      </c>
      <c r="I37" s="43">
        <v>-3.61999999999981e-07</v>
      </c>
      <c r="J37" s="38">
        <f>SUM(RCL!ED10:EO10)/1000000</f>
        <v>9.437e-05</v>
      </c>
      <c r="K37" s="42">
        <f>[3]Anexo_3!$N19/1000000</f>
        <v>0.001050157</v>
      </c>
    </row>
    <row ht="12.8" outlineLevel="0" r="38">
      <c r="A38" s="28" t="s">
        <v>308</v>
      </c>
      <c r="B38" s="38">
        <v>66</v>
      </c>
      <c r="C38" s="38">
        <v>64</v>
      </c>
      <c r="D38" s="38">
        <v>46</v>
      </c>
      <c r="E38" s="38">
        <v>49</v>
      </c>
      <c r="F38" s="38">
        <v>48</v>
      </c>
      <c r="G38" s="44">
        <v>37.255193548</v>
      </c>
      <c r="H38" s="37">
        <v>26.3655076589996</v>
      </c>
      <c r="I38" s="43">
        <v>29.754756233</v>
      </c>
      <c r="J38" s="38">
        <f>SUM(RCL!ED11:EO11)/1000000</f>
        <v>38.30425242</v>
      </c>
      <c r="K38" s="42">
        <f>[3]Anexo_3!$N20/1000000</f>
        <v>47.835393618</v>
      </c>
    </row>
    <row ht="12.8" outlineLevel="0" r="39">
      <c r="A39" s="28" t="s">
        <v>436</v>
      </c>
      <c r="B39" s="38">
        <f>SUM(B32:B38)</f>
        <v>197</v>
      </c>
      <c r="C39" s="38">
        <f>SUM(C32:C38)</f>
        <v>201</v>
      </c>
      <c r="D39" s="38">
        <f>SUM(D32:D38)</f>
        <v>172</v>
      </c>
      <c r="E39" s="38">
        <f>SUM(E32:E38)</f>
        <v>170</v>
      </c>
      <c r="F39" s="38">
        <f>SUM(F32:F38)</f>
        <v>172</v>
      </c>
      <c r="G39" s="38">
        <f>SUM(G32:G38)</f>
        <v>143.182600343</v>
      </c>
      <c r="H39" s="38">
        <v>184.004908165</v>
      </c>
      <c r="I39" s="38">
        <f>SUM(I32:I38)</f>
        <v>291.798796004</v>
      </c>
      <c r="J39" s="38">
        <f>SUM(J32:J38)</f>
        <v>171.25304893</v>
      </c>
      <c r="K39" s="38">
        <f>SUM(K32:K38)</f>
        <v>231.6780913702</v>
      </c>
    </row>
    <row ht="12.8" outlineLevel="0" r="40">
      <c r="A40" s="28" t="s">
        <v>325</v>
      </c>
      <c r="B40" s="38">
        <f>+G3/1000000</f>
        <v>517.78398623</v>
      </c>
      <c r="C40" s="38">
        <f>+H3/1000000</f>
        <v>563.55159112</v>
      </c>
      <c r="D40" s="38">
        <f>+I3/1000000</f>
        <v>601.70193483</v>
      </c>
      <c r="E40" s="38">
        <f>+J3/1000000</f>
        <v>607.9920595653</v>
      </c>
      <c r="F40" s="38">
        <f>+K3/1000000</f>
        <v>650.62028675442</v>
      </c>
      <c r="G40" s="38">
        <f>+L3/1000000</f>
        <v>680.64572336468</v>
      </c>
      <c r="H40" s="45">
        <v>730.31419185843</v>
      </c>
      <c r="I40" s="45">
        <v>785.35294711871</v>
      </c>
      <c r="J40" s="38">
        <f>SUM(RCL!ED12:EO12)/1000000</f>
        <v>861.74326405485</v>
      </c>
      <c r="K40" s="42">
        <f>[3]Anexo_3!$N21/1000000</f>
        <v>906.60034946817</v>
      </c>
      <c r="AC40" s="41"/>
    </row>
    <row ht="12.8" outlineLevel="0" r="41">
      <c r="A41" s="28" t="s">
        <v>437</v>
      </c>
      <c r="B41" s="38">
        <v>184</v>
      </c>
      <c r="C41" s="38">
        <v>203</v>
      </c>
      <c r="D41" s="38">
        <v>218</v>
      </c>
      <c r="E41" s="38">
        <v>214</v>
      </c>
      <c r="F41" s="38">
        <v>239</v>
      </c>
      <c r="G41" s="43">
        <v>239.65644504769</v>
      </c>
      <c r="H41" s="43">
        <v>266.52128242818</v>
      </c>
      <c r="I41" s="43">
        <v>298.25990010703</v>
      </c>
      <c r="J41" s="38">
        <f>SUM(RCL!ED13:EO13)/1000000</f>
        <v>378.40633574584</v>
      </c>
      <c r="K41" s="42">
        <f>[3]Anexo_3!$N22/1000000</f>
        <v>352.33786408778</v>
      </c>
      <c r="AC41" s="41"/>
    </row>
    <row ht="12.8" outlineLevel="0" r="42">
      <c r="A42" s="28" t="s">
        <v>438</v>
      </c>
      <c r="B42" s="38">
        <v>274</v>
      </c>
      <c r="C42" s="38">
        <v>298</v>
      </c>
      <c r="D42" s="38">
        <v>319</v>
      </c>
      <c r="E42" s="38">
        <v>326</v>
      </c>
      <c r="F42" s="38">
        <v>342</v>
      </c>
      <c r="G42" s="43">
        <v>361.22183405333</v>
      </c>
      <c r="H42" s="43">
        <v>380.19038285693</v>
      </c>
      <c r="I42" s="43">
        <v>404.52832854505</v>
      </c>
      <c r="J42" s="38">
        <f>SUM(RCL!ED14:EO14)/1000000</f>
        <v>396.05230210114</v>
      </c>
      <c r="K42" s="42">
        <f>[3]Anexo_3!$N23/1000000</f>
        <v>451.17503789012</v>
      </c>
      <c r="AC42" s="41"/>
    </row>
    <row ht="12.8" outlineLevel="0" r="43">
      <c r="A43" s="28" t="s">
        <v>440</v>
      </c>
      <c r="B43" s="38">
        <v>10</v>
      </c>
      <c r="C43" s="38">
        <v>10</v>
      </c>
      <c r="D43" s="38">
        <v>11</v>
      </c>
      <c r="E43" s="38">
        <v>12</v>
      </c>
      <c r="F43" s="38">
        <v>13</v>
      </c>
      <c r="G43" s="43">
        <v>13.72881432842</v>
      </c>
      <c r="H43" s="43">
        <v>13.73583561474</v>
      </c>
      <c r="I43" s="43">
        <v>13.92522819811</v>
      </c>
      <c r="J43" s="38">
        <f>SUM(RCL!ED15:EO15)/1000000</f>
        <v>17.39695040133</v>
      </c>
      <c r="K43" s="42">
        <f>[3]Anexo_3!$N24/1000000</f>
        <v>17.99241157624</v>
      </c>
    </row>
    <row ht="12.8" outlineLevel="0" r="44">
      <c r="A44" s="28" t="s">
        <v>315</v>
      </c>
      <c r="B44" s="38">
        <v>0</v>
      </c>
      <c r="C44" s="38">
        <v>0</v>
      </c>
      <c r="D44" s="38">
        <v>0</v>
      </c>
      <c r="E44" s="38">
        <v>0</v>
      </c>
      <c r="F44" s="38">
        <v>0</v>
      </c>
      <c r="G44" s="43">
        <v>0.05301251075</v>
      </c>
      <c r="H44" s="43">
        <v>0.05175373467</v>
      </c>
      <c r="I44" s="43">
        <v>0.02901129534</v>
      </c>
      <c r="J44" s="38">
        <f>SUM(RCL!ED16:EO16)/1000000</f>
        <v>17.39695040133</v>
      </c>
      <c r="K44" s="42">
        <f>[3]Anexo_3!$N25/1000000</f>
        <v>0.34578169724</v>
      </c>
    </row>
    <row ht="12.8" outlineLevel="0" r="45">
      <c r="A45" s="28" t="s">
        <v>316</v>
      </c>
      <c r="B45" s="38">
        <v>2</v>
      </c>
      <c r="C45" s="38">
        <v>2</v>
      </c>
      <c r="D45" s="38">
        <v>2</v>
      </c>
      <c r="E45" s="38">
        <v>2</v>
      </c>
      <c r="F45" s="38">
        <v>3</v>
      </c>
      <c r="G45" s="43">
        <v>3.34276268854</v>
      </c>
      <c r="H45" s="43">
        <v>3.63528761458</v>
      </c>
      <c r="I45" s="43">
        <v>3.81845406191</v>
      </c>
      <c r="J45" s="38">
        <f>SUM(RCL!ED17:EO17)/1000000</f>
        <v>0</v>
      </c>
      <c r="K45" s="42">
        <f>[3]Anexo_3!$N26/1000000</f>
        <v>8.5647373794</v>
      </c>
    </row>
    <row ht="12.8" outlineLevel="0" r="46">
      <c r="A46" s="28" t="s">
        <v>317</v>
      </c>
      <c r="B46" s="38">
        <v>48</v>
      </c>
      <c r="C46" s="38">
        <v>51</v>
      </c>
      <c r="D46" s="38">
        <v>52</v>
      </c>
      <c r="E46" s="38">
        <v>54</v>
      </c>
      <c r="F46" s="38">
        <v>54</v>
      </c>
      <c r="G46" s="43">
        <v>62.64285473595</v>
      </c>
      <c r="H46" s="43">
        <v>66.17964960933</v>
      </c>
      <c r="I46" s="43">
        <v>64.79202491127</v>
      </c>
      <c r="J46" s="38">
        <f>SUM(RCL!ED18:EO18)/1000000</f>
        <v>0.26202845702</v>
      </c>
      <c r="K46" s="42">
        <f>[3]Anexo_3!$N27/1000000</f>
        <v>76.18451683739</v>
      </c>
    </row>
    <row ht="12.8" outlineLevel="0" r="47">
      <c r="A47" s="28" t="s">
        <v>443</v>
      </c>
      <c r="B47" s="38">
        <f>SUM(B43:B46)</f>
        <v>60</v>
      </c>
      <c r="C47" s="38">
        <f>SUM(C43:C46)</f>
        <v>63</v>
      </c>
      <c r="D47" s="38">
        <f>SUM(D43:D46)</f>
        <v>65</v>
      </c>
      <c r="E47" s="38">
        <f>SUM(E43:E46)</f>
        <v>68</v>
      </c>
      <c r="F47" s="38">
        <f>SUM(F43:F46)</f>
        <v>70</v>
      </c>
      <c r="G47" s="38">
        <f>SUM(G43:G46)</f>
        <v>79.76744426366</v>
      </c>
      <c r="H47" s="38">
        <v>83.60252657332</v>
      </c>
      <c r="I47" s="38">
        <f>SUM(I43:I46)</f>
        <v>82.56471846663</v>
      </c>
      <c r="J47" s="38">
        <f>SUM(J43:J46)</f>
        <v>35.05592925968</v>
      </c>
      <c r="K47" s="38">
        <f>SUM(K43:K46)</f>
        <v>103.08744749027</v>
      </c>
      <c r="Q47" s="41"/>
    </row>
    <row ht="12.8" outlineLevel="0" r="48">
      <c r="A48" s="46" t="s">
        <v>444</v>
      </c>
      <c r="B48" s="47">
        <f>+B29-B40</f>
        <v>616.93334852</v>
      </c>
      <c r="C48" s="47">
        <f>+C29-C40</f>
        <v>656.0942179</v>
      </c>
      <c r="D48" s="47">
        <f>+D29-D40</f>
        <v>641.57819733</v>
      </c>
      <c r="E48" s="47">
        <f>+E29-E40</f>
        <v>674.5227420497</v>
      </c>
      <c r="F48" s="47">
        <f>+F29-F40</f>
        <v>709.92957450658</v>
      </c>
      <c r="G48" s="47">
        <f>+G29-G40</f>
        <v>727.25432397132</v>
      </c>
      <c r="H48" s="47">
        <f>+H29-H40</f>
        <v>805.34840346657</v>
      </c>
      <c r="I48" s="47">
        <f>I29-I40</f>
        <v>905.65858959429</v>
      </c>
      <c r="J48" s="47">
        <f>J29-J40</f>
        <v>651.94326603115</v>
      </c>
      <c r="K48" s="47">
        <f>+K29-K40</f>
        <v>971.36320332783</v>
      </c>
      <c r="Q48" s="41"/>
    </row>
    <row ht="12.8" outlineLevel="0" r="49">
      <c r="Q49" s="41"/>
    </row>
    <row ht="12.8" outlineLevel="0" r="51">
      <c r="A51" s="48" t="s">
        <v>445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ht="12.8" outlineLevel="0" r="52">
      <c r="A52" s="48" t="s">
        <v>441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ht="12.8" outlineLevel="0" r="53">
      <c r="A53" s="48" t="s">
        <v>446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</row>
    <row ht="12.8" outlineLevel="0"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M54" s="49"/>
      <c r="N54" s="49"/>
      <c r="O54" s="49"/>
      <c r="P54" s="49"/>
      <c r="Q54" s="49"/>
      <c r="R54" s="49"/>
      <c r="S54" s="49"/>
      <c r="T54" s="49"/>
      <c r="U54" s="50"/>
      <c r="V54" s="50"/>
      <c r="W54" s="49"/>
    </row>
    <row ht="12.8" outlineLevel="0" r="55">
      <c r="A55" s="51" t="s">
        <v>447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M55" s="52"/>
      <c r="N55" s="52"/>
      <c r="O55" s="52"/>
      <c r="P55" s="52"/>
      <c r="Q55" s="52"/>
      <c r="R55" s="52"/>
      <c r="S55" s="52"/>
      <c r="T55" s="52"/>
      <c r="U55" s="50"/>
      <c r="V55" s="50"/>
      <c r="W55" s="52"/>
      <c r="X55" s="52"/>
      <c r="Y55" s="52"/>
    </row>
    <row ht="12.8" outlineLevel="0" r="56">
      <c r="A56" s="51" t="s">
        <v>441</v>
      </c>
      <c r="B56" s="48"/>
      <c r="C56" s="48"/>
      <c r="D56" s="48"/>
      <c r="E56" s="48"/>
      <c r="F56" s="48"/>
      <c r="G56" s="48"/>
      <c r="H56" s="48"/>
      <c r="I56" s="48"/>
      <c r="J56" s="48"/>
      <c r="K56" s="48"/>
      <c r="M56" s="50"/>
      <c r="N56" s="50"/>
      <c r="O56" s="50"/>
      <c r="P56" s="50"/>
      <c r="Q56" s="50"/>
      <c r="R56" s="50"/>
      <c r="S56" s="53"/>
      <c r="T56" s="50"/>
      <c r="U56" s="50"/>
      <c r="V56" s="50"/>
      <c r="W56" s="50"/>
    </row>
    <row ht="12.8" outlineLevel="0" r="57">
      <c r="A57" s="51" t="s">
        <v>448</v>
      </c>
      <c r="M57" s="50"/>
      <c r="N57" s="50"/>
      <c r="O57" s="50"/>
      <c r="P57" s="50"/>
      <c r="Q57" s="50"/>
      <c r="R57" s="50"/>
      <c r="S57" s="53"/>
      <c r="T57" s="50"/>
      <c r="U57" s="50"/>
      <c r="V57" s="50"/>
      <c r="W57" s="50"/>
    </row>
    <row ht="12.8" outlineLevel="0" r="58">
      <c r="A58" s="34" t="s">
        <v>449</v>
      </c>
      <c r="B58" s="30">
        <v>2007</v>
      </c>
      <c r="C58" s="34">
        <v>2008</v>
      </c>
      <c r="D58" s="34">
        <v>2009</v>
      </c>
      <c r="E58" s="34">
        <v>2010</v>
      </c>
      <c r="F58" s="34">
        <v>2011</v>
      </c>
      <c r="G58" s="34">
        <v>2012</v>
      </c>
      <c r="H58" s="34">
        <v>2013</v>
      </c>
      <c r="I58" s="34">
        <v>2014</v>
      </c>
      <c r="J58" s="34">
        <v>2015</v>
      </c>
      <c r="K58" s="34">
        <v>2016</v>
      </c>
      <c r="L58" s="34">
        <v>2017</v>
      </c>
      <c r="M58" s="34">
        <v>2018</v>
      </c>
      <c r="N58" s="34">
        <v>2019</v>
      </c>
      <c r="O58" s="34">
        <v>2020</v>
      </c>
      <c r="P58" s="34">
        <v>2021</v>
      </c>
      <c r="Q58" s="50"/>
      <c r="R58" s="50"/>
      <c r="S58" s="53"/>
      <c r="T58" s="50"/>
      <c r="U58" s="50"/>
      <c r="V58" s="50"/>
      <c r="W58" s="50"/>
    </row>
    <row ht="12.8" outlineLevel="0" r="59">
      <c r="A59" s="54" t="s">
        <v>434</v>
      </c>
      <c r="B59" s="55">
        <v>658.88441659</v>
      </c>
      <c r="C59" s="56">
        <v>754.73551664</v>
      </c>
      <c r="D59" s="56">
        <v>775.40675851</v>
      </c>
      <c r="E59" s="56">
        <v>890.13703295</v>
      </c>
      <c r="F59" s="56">
        <v>1029.61346782</v>
      </c>
      <c r="G59" s="56">
        <v>1134.71733475</v>
      </c>
      <c r="H59" s="56">
        <v>1219.64580902</v>
      </c>
      <c r="I59" s="56">
        <v>1243.28013216</v>
      </c>
      <c r="J59" s="56">
        <v>1282.514801615</v>
      </c>
      <c r="K59" s="56">
        <v>1360.549861261</v>
      </c>
      <c r="L59" s="56">
        <v>1407.900047336</v>
      </c>
      <c r="M59" s="56">
        <f>H29</f>
        <v>1535.662595325</v>
      </c>
      <c r="N59" s="56">
        <f>I29</f>
        <v>1691.011536713</v>
      </c>
      <c r="O59" s="56">
        <f>J29</f>
        <v>1513.686530086</v>
      </c>
      <c r="P59" s="56">
        <f>K29</f>
        <v>1877.963552796</v>
      </c>
      <c r="Q59" s="50"/>
      <c r="R59" s="50"/>
      <c r="S59" s="53"/>
      <c r="T59" s="50"/>
      <c r="U59" s="50"/>
      <c r="V59" s="50"/>
      <c r="W59" s="50"/>
    </row>
    <row ht="12.8" outlineLevel="0" r="60">
      <c r="A60" s="28" t="s">
        <v>300</v>
      </c>
      <c r="B60" s="38">
        <f>B8</f>
        <v>200</v>
      </c>
      <c r="C60" s="57">
        <f>C8</f>
        <v>254</v>
      </c>
      <c r="D60" s="57">
        <f>D8</f>
        <v>241</v>
      </c>
      <c r="E60" s="57">
        <f>E8</f>
        <v>282</v>
      </c>
      <c r="F60" s="57">
        <f>F8</f>
        <v>339</v>
      </c>
      <c r="G60" s="57">
        <f>B30</f>
        <v>348</v>
      </c>
      <c r="H60" s="57">
        <f>C30</f>
        <v>376</v>
      </c>
      <c r="I60" s="57">
        <f>D30</f>
        <v>400</v>
      </c>
      <c r="J60" s="57">
        <f>E30</f>
        <v>425</v>
      </c>
      <c r="K60" s="57">
        <f>F30</f>
        <v>459</v>
      </c>
      <c r="L60" s="57">
        <f>G30</f>
        <v>464.984461185</v>
      </c>
      <c r="M60" s="57">
        <f>H30</f>
        <v>507.174142212</v>
      </c>
      <c r="N60" s="57">
        <f>I30</f>
        <v>545.808990701</v>
      </c>
      <c r="O60" s="57">
        <f>J30</f>
        <v>516.831237083</v>
      </c>
      <c r="P60" s="57">
        <f>K30</f>
        <v>662.708434476</v>
      </c>
      <c r="Q60" s="50"/>
      <c r="R60" s="50"/>
      <c r="S60" s="58"/>
      <c r="T60" s="50"/>
      <c r="U60" s="50"/>
      <c r="V60" s="50"/>
      <c r="W60" s="50"/>
    </row>
    <row ht="12.8" outlineLevel="0" r="61">
      <c r="A61" s="28" t="s">
        <v>301</v>
      </c>
      <c r="B61" s="38">
        <f>B9</f>
        <v>365</v>
      </c>
      <c r="C61" s="57">
        <f>C9</f>
        <v>382</v>
      </c>
      <c r="D61" s="57">
        <f>D9</f>
        <v>400</v>
      </c>
      <c r="E61" s="57">
        <f>E9</f>
        <v>475</v>
      </c>
      <c r="F61" s="57">
        <f>F9</f>
        <v>545</v>
      </c>
      <c r="G61" s="57">
        <f>B31</f>
        <v>590</v>
      </c>
      <c r="H61" s="57">
        <f>C31</f>
        <v>643</v>
      </c>
      <c r="I61" s="57">
        <f>D31</f>
        <v>671</v>
      </c>
      <c r="J61" s="57">
        <f>E31</f>
        <v>688</v>
      </c>
      <c r="K61" s="57">
        <f>F31</f>
        <v>730</v>
      </c>
      <c r="L61" s="57">
        <f>G31</f>
        <v>799.732985808</v>
      </c>
      <c r="M61" s="57">
        <f>H31</f>
        <v>844.483544948</v>
      </c>
      <c r="N61" s="57">
        <f>I31</f>
        <v>853.403750008</v>
      </c>
      <c r="O61" s="57">
        <f>J31</f>
        <v>825.602244073</v>
      </c>
      <c r="P61" s="57">
        <f>K31</f>
        <v>982.994532107</v>
      </c>
      <c r="Q61" s="50"/>
      <c r="R61" s="50"/>
      <c r="S61" s="58"/>
      <c r="T61" s="50"/>
      <c r="U61" s="50"/>
      <c r="V61" s="50"/>
      <c r="W61" s="50"/>
    </row>
    <row ht="12.8" outlineLevel="0" r="62">
      <c r="A62" s="28" t="s">
        <v>436</v>
      </c>
      <c r="B62" s="38">
        <f>B59-B60-B61</f>
        <v>93.88441659</v>
      </c>
      <c r="C62" s="57">
        <f>C59-C60-C61</f>
        <v>118.73551664</v>
      </c>
      <c r="D62" s="57">
        <f>D59-D60-D61</f>
        <v>134.40675851</v>
      </c>
      <c r="E62" s="57">
        <f>E59-E60-E61</f>
        <v>133.13703295</v>
      </c>
      <c r="F62" s="57">
        <f>F59-F60-F61</f>
        <v>145.61346782</v>
      </c>
      <c r="G62" s="57">
        <f>G59-G60-G61</f>
        <v>196.71733475</v>
      </c>
      <c r="H62" s="57">
        <f>H59-H60-H61</f>
        <v>200.64580902</v>
      </c>
      <c r="I62" s="57">
        <f>I59-I60-I61</f>
        <v>172.28013216</v>
      </c>
      <c r="J62" s="57">
        <f>J59-J60-J61</f>
        <v>169.514801615</v>
      </c>
      <c r="K62" s="57">
        <f>K59-K60-K61</f>
        <v>171.549861261</v>
      </c>
      <c r="L62" s="57">
        <f>L59-L60-L61</f>
        <v>143.182600343</v>
      </c>
      <c r="M62" s="57">
        <f>M59-M60-M61</f>
        <v>184.004908165</v>
      </c>
      <c r="N62" s="57">
        <f>N59-N60-N61</f>
        <v>291.798796004</v>
      </c>
      <c r="O62" s="57">
        <f>O59-O60-O61</f>
        <v>171.25304893</v>
      </c>
      <c r="P62" s="57">
        <f>P59-P60-P61</f>
        <v>232.260586213</v>
      </c>
      <c r="Q62" s="50"/>
      <c r="R62" s="50"/>
      <c r="S62" s="59"/>
      <c r="T62" s="50"/>
      <c r="U62" s="50"/>
      <c r="V62" s="50"/>
      <c r="W62" s="50"/>
    </row>
    <row ht="12.8" outlineLevel="0" r="63">
      <c r="A63" s="54" t="s">
        <v>325</v>
      </c>
      <c r="B63" s="55">
        <v>272.20255938</v>
      </c>
      <c r="C63" s="56">
        <v>326.17222872</v>
      </c>
      <c r="D63" s="56">
        <v>338.20642218</v>
      </c>
      <c r="E63" s="56">
        <v>390.27041999</v>
      </c>
      <c r="F63" s="56">
        <v>470.90708122</v>
      </c>
      <c r="G63" s="56">
        <v>517.78398623</v>
      </c>
      <c r="H63" s="56">
        <v>563.55159112</v>
      </c>
      <c r="I63" s="56">
        <v>601.70193483</v>
      </c>
      <c r="J63" s="56">
        <v>607.9920595653</v>
      </c>
      <c r="K63" s="56">
        <v>650.62028675442</v>
      </c>
      <c r="L63" s="56">
        <v>680.64572336468</v>
      </c>
      <c r="M63" s="56">
        <f>H40</f>
        <v>730.31419185843</v>
      </c>
      <c r="N63" s="56">
        <f>I40</f>
        <v>785.35294711871</v>
      </c>
      <c r="O63" s="56">
        <f>J40</f>
        <v>861.74326405485</v>
      </c>
      <c r="P63" s="56">
        <f>K40</f>
        <v>906.60034946817</v>
      </c>
      <c r="Q63" s="50"/>
      <c r="R63" s="50"/>
      <c r="S63" s="58"/>
      <c r="T63" s="50"/>
      <c r="U63" s="50"/>
      <c r="V63" s="50"/>
      <c r="W63" s="50"/>
    </row>
    <row ht="12.8" outlineLevel="0" r="64">
      <c r="A64" s="28" t="s">
        <v>437</v>
      </c>
      <c r="B64" s="38">
        <f>B19</f>
        <v>108</v>
      </c>
      <c r="C64" s="57">
        <f>C19</f>
        <v>137</v>
      </c>
      <c r="D64" s="57">
        <f>D19</f>
        <v>129</v>
      </c>
      <c r="E64" s="57">
        <f>E19</f>
        <v>145</v>
      </c>
      <c r="F64" s="57">
        <f>F19</f>
        <v>173</v>
      </c>
      <c r="G64" s="57">
        <f>B41</f>
        <v>184</v>
      </c>
      <c r="H64" s="57">
        <f>C41</f>
        <v>203</v>
      </c>
      <c r="I64" s="57">
        <f>D41</f>
        <v>218</v>
      </c>
      <c r="J64" s="57">
        <f>E41</f>
        <v>214</v>
      </c>
      <c r="K64" s="57">
        <f>F41</f>
        <v>239</v>
      </c>
      <c r="L64" s="57">
        <f>G41</f>
        <v>239.65644504769</v>
      </c>
      <c r="M64" s="57">
        <f>H41</f>
        <v>266.52128242818</v>
      </c>
      <c r="N64" s="57">
        <f>I41</f>
        <v>298.25990010703</v>
      </c>
      <c r="O64" s="57">
        <f>J41</f>
        <v>378.40633574584</v>
      </c>
      <c r="P64" s="57">
        <f>K41</f>
        <v>352.33786408778</v>
      </c>
      <c r="Q64" s="60"/>
      <c r="R64" s="60"/>
      <c r="S64" s="58"/>
      <c r="T64" s="60"/>
      <c r="U64" s="60"/>
      <c r="V64" s="60"/>
      <c r="W64" s="60"/>
    </row>
    <row ht="12.8" outlineLevel="0" r="65">
      <c r="A65" s="28" t="s">
        <v>438</v>
      </c>
      <c r="B65" s="38">
        <f>B20</f>
        <v>131</v>
      </c>
      <c r="C65" s="57">
        <f>C20</f>
        <v>150</v>
      </c>
      <c r="D65" s="57">
        <f>D20</f>
        <v>169</v>
      </c>
      <c r="E65" s="57">
        <f>E20</f>
        <v>194</v>
      </c>
      <c r="F65" s="57">
        <f>F20</f>
        <v>245</v>
      </c>
      <c r="G65" s="57">
        <f>B42</f>
        <v>274</v>
      </c>
      <c r="H65" s="57">
        <f>C42</f>
        <v>298</v>
      </c>
      <c r="I65" s="57">
        <f>D42</f>
        <v>319</v>
      </c>
      <c r="J65" s="57">
        <f>E42</f>
        <v>326</v>
      </c>
      <c r="K65" s="57">
        <f>F42</f>
        <v>342</v>
      </c>
      <c r="L65" s="57">
        <f>G42</f>
        <v>361.22183405333</v>
      </c>
      <c r="M65" s="57">
        <f>H42</f>
        <v>380.19038285693</v>
      </c>
      <c r="N65" s="57">
        <f>I42</f>
        <v>404.52832854505</v>
      </c>
      <c r="O65" s="57">
        <f>J42</f>
        <v>396.05230210114</v>
      </c>
      <c r="P65" s="57">
        <f>K42</f>
        <v>451.17503789012</v>
      </c>
      <c r="Q65" s="60"/>
      <c r="R65" s="60"/>
      <c r="S65" s="58"/>
      <c r="T65" s="60"/>
      <c r="U65" s="60"/>
      <c r="V65" s="60"/>
      <c r="W65" s="60"/>
    </row>
    <row ht="12.8" outlineLevel="0" r="66">
      <c r="A66" s="28" t="s">
        <v>443</v>
      </c>
      <c r="B66" s="38">
        <f>B63-B64-B65</f>
        <v>33.20255938</v>
      </c>
      <c r="C66" s="57">
        <f>C63-C64-C65</f>
        <v>39.17222872</v>
      </c>
      <c r="D66" s="57">
        <f>D63-D64-D65</f>
        <v>40.20642218</v>
      </c>
      <c r="E66" s="57">
        <f>E63-E64-E65</f>
        <v>51.2704199899999</v>
      </c>
      <c r="F66" s="57">
        <f>F63-F64-F65</f>
        <v>52.90708122</v>
      </c>
      <c r="G66" s="57">
        <f>G63-G64-G65</f>
        <v>59.7839862300002</v>
      </c>
      <c r="H66" s="57">
        <f>H63-H64-H65</f>
        <v>62.5515911199999</v>
      </c>
      <c r="I66" s="57">
        <f>I63-I64-I65</f>
        <v>64.70193483</v>
      </c>
      <c r="J66" s="57">
        <f>J63-J64-J65</f>
        <v>67.9920595653</v>
      </c>
      <c r="K66" s="57">
        <f>K63-K64-K65</f>
        <v>69.6202867544199</v>
      </c>
      <c r="L66" s="57">
        <f>L63-L64-L65</f>
        <v>79.76744426366</v>
      </c>
      <c r="M66" s="57">
        <f>M63-M64-M65</f>
        <v>83.60252657332</v>
      </c>
      <c r="N66" s="57">
        <f>N63-N64-N65</f>
        <v>82.5647184666299</v>
      </c>
      <c r="O66" s="57">
        <f>O63-O64-O65</f>
        <v>87.2846262078701</v>
      </c>
      <c r="P66" s="57">
        <f>P63-P64-P65</f>
        <v>103.08744749027</v>
      </c>
    </row>
    <row ht="12.8" outlineLevel="0" r="67">
      <c r="A67" s="34" t="s">
        <v>444</v>
      </c>
      <c r="B67" s="35">
        <v>386.68185721</v>
      </c>
      <c r="C67" s="61">
        <v>428.56328792</v>
      </c>
      <c r="D67" s="61">
        <v>437.20033633</v>
      </c>
      <c r="E67" s="61">
        <v>499.86661296</v>
      </c>
      <c r="F67" s="61">
        <v>558.7063866</v>
      </c>
      <c r="G67" s="61">
        <v>616.93334852</v>
      </c>
      <c r="H67" s="61">
        <v>656.0942179</v>
      </c>
      <c r="I67" s="61">
        <v>641.57819733</v>
      </c>
      <c r="J67" s="61">
        <v>674.5227420497</v>
      </c>
      <c r="K67" s="61">
        <f>+K59-K63</f>
        <v>709.92957450658</v>
      </c>
      <c r="L67" s="61">
        <f>+L59-L63</f>
        <v>727.25432397132</v>
      </c>
      <c r="M67" s="61">
        <f>+M59-M63</f>
        <v>805.34840346657</v>
      </c>
      <c r="N67" s="61">
        <f>+N59-N63</f>
        <v>905.65858959429</v>
      </c>
      <c r="O67" s="61">
        <f>+O59-O63</f>
        <v>651.94326603115</v>
      </c>
      <c r="P67" s="61">
        <f>+P59-P63</f>
        <v>971.36320332783</v>
      </c>
    </row>
    <row ht="12.8" outlineLevel="0" r="68">
      <c r="A68" s="28" t="s">
        <v>450</v>
      </c>
      <c r="O68" s="29"/>
      <c r="P68" s="29"/>
    </row>
    <row ht="12.8" outlineLevel="0" r="69">
      <c r="O69" s="29"/>
      <c r="P69" s="29"/>
    </row>
    <row ht="12.8" outlineLevel="0" r="70">
      <c r="A70" s="34" t="s">
        <v>433</v>
      </c>
      <c r="B70" s="34">
        <v>2007</v>
      </c>
      <c r="C70" s="34">
        <v>2008</v>
      </c>
      <c r="D70" s="34">
        <v>2009</v>
      </c>
      <c r="E70" s="34">
        <v>2010</v>
      </c>
      <c r="F70" s="34">
        <v>2011</v>
      </c>
      <c r="G70" s="34">
        <v>2012</v>
      </c>
      <c r="H70" s="34">
        <v>2013</v>
      </c>
      <c r="I70" s="34">
        <v>2014</v>
      </c>
      <c r="J70" s="34">
        <v>2015</v>
      </c>
      <c r="K70" s="34">
        <v>2016</v>
      </c>
      <c r="L70" s="34">
        <v>2017</v>
      </c>
      <c r="M70" s="34">
        <v>2018</v>
      </c>
      <c r="N70" s="34">
        <f>N58</f>
        <v>2019</v>
      </c>
      <c r="O70" s="34">
        <f>O58</f>
        <v>2020</v>
      </c>
      <c r="P70" s="34">
        <f>P58</f>
        <v>2021</v>
      </c>
    </row>
    <row ht="12.8" outlineLevel="0" r="71">
      <c r="A71" s="28" t="s">
        <v>451</v>
      </c>
      <c r="B71" s="38">
        <v>386.68185721</v>
      </c>
      <c r="C71" s="38">
        <v>428.56328792</v>
      </c>
      <c r="D71" s="38">
        <v>437.20033633</v>
      </c>
      <c r="E71" s="38">
        <v>499.86661296</v>
      </c>
      <c r="F71" s="38">
        <v>558.7063866</v>
      </c>
      <c r="G71" s="38">
        <v>616.93334852</v>
      </c>
      <c r="H71" s="38">
        <v>656.0942179</v>
      </c>
      <c r="I71" s="38">
        <v>641.57819733</v>
      </c>
      <c r="J71" s="38">
        <v>674.5227420497</v>
      </c>
      <c r="K71" s="38">
        <v>709.92957450658</v>
      </c>
      <c r="L71" s="37">
        <v>727.25432397132</v>
      </c>
      <c r="M71" s="37">
        <f>H48</f>
        <v>805.34840346657</v>
      </c>
      <c r="N71" s="37">
        <f>I48</f>
        <v>905.65858959429</v>
      </c>
      <c r="O71" s="37">
        <f>J48</f>
        <v>651.94326603115</v>
      </c>
      <c r="P71" s="37">
        <f>K48</f>
        <v>971.36320332783</v>
      </c>
    </row>
    <row ht="12.8" outlineLevel="0" r="72">
      <c r="A72" s="38" t="s">
        <v>452</v>
      </c>
      <c r="B72" s="38">
        <v>2720.263</v>
      </c>
      <c r="C72" s="38">
        <v>3109.803</v>
      </c>
      <c r="D72" s="38">
        <v>3333.039</v>
      </c>
      <c r="E72" s="38">
        <v>3885.847</v>
      </c>
      <c r="F72" s="38">
        <v>4376.382</v>
      </c>
      <c r="G72" s="38">
        <v>4814.76</v>
      </c>
      <c r="H72" s="38">
        <v>5331.61900000001</v>
      </c>
      <c r="I72" s="38">
        <v>5778.953</v>
      </c>
      <c r="J72" s="38">
        <v>6000.57046009999</v>
      </c>
      <c r="K72" s="38">
        <v>6266.89473644386</v>
      </c>
      <c r="L72" s="43">
        <v>6559.94025975142</v>
      </c>
      <c r="M72" s="62">
        <v>6827.586</v>
      </c>
      <c r="N72" s="62">
        <v>7258.6771</v>
      </c>
      <c r="O72" s="62">
        <v>7410.3214</v>
      </c>
      <c r="P72" s="62">
        <f>PIB_IPEADATA!B381/1000</f>
        <v>8287.7283</v>
      </c>
      <c r="Q72" s="63" t="s">
        <v>453</v>
      </c>
    </row>
    <row ht="12.8" outlineLevel="0" r="73">
      <c r="A73" s="47" t="s">
        <v>454</v>
      </c>
      <c r="B73" s="64">
        <v>0.142148702978352</v>
      </c>
      <c r="C73" s="64">
        <v>0.137810429766773</v>
      </c>
      <c r="D73" s="64">
        <v>0.131171683358641</v>
      </c>
      <c r="E73" s="64">
        <v>0.128637749494512</v>
      </c>
      <c r="F73" s="64">
        <v>0.127663989706566</v>
      </c>
      <c r="G73" s="64">
        <v>0.128133769600146</v>
      </c>
      <c r="H73" s="64">
        <v>0.123057221061745</v>
      </c>
      <c r="I73" s="64">
        <v>0.111019798453111</v>
      </c>
      <c r="J73" s="64">
        <v>0.112409769460229</v>
      </c>
      <c r="K73" s="64">
        <v>0.113282511413209</v>
      </c>
      <c r="L73" s="64">
        <v>0.110862949230406</v>
      </c>
      <c r="M73" s="64">
        <f>M71/M72</f>
        <v>0.117955072768995</v>
      </c>
      <c r="N73" s="64">
        <f>N71/N72</f>
        <v>0.12476909733239</v>
      </c>
      <c r="O73" s="64">
        <f>O71/O72</f>
        <v>0.0879777314424108</v>
      </c>
      <c r="P73" s="64">
        <f>P71/P72</f>
        <v>0.117205000956394</v>
      </c>
      <c r="Q73" s="28" t="s">
        <v>455</v>
      </c>
    </row>
    <row ht="12.8" outlineLevel="0"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Q74" s="65" t="s">
        <v>456</v>
      </c>
    </row>
    <row ht="12.8" outlineLevel="0" r="75">
      <c r="A75" s="29"/>
      <c r="B75" s="33">
        <f>+B72*1000000</f>
        <v>2720263000</v>
      </c>
      <c r="C75" s="33">
        <f>+C72*1000000</f>
        <v>3109803000</v>
      </c>
      <c r="D75" s="33">
        <f>+D72*1000000</f>
        <v>3333039000</v>
      </c>
      <c r="E75" s="33">
        <f>+E72*1000000</f>
        <v>3885847000</v>
      </c>
      <c r="F75" s="33">
        <f>+F72*1000000</f>
        <v>4376382000</v>
      </c>
      <c r="G75" s="33">
        <f>+G72*1000000</f>
        <v>4814760000</v>
      </c>
      <c r="H75" s="33">
        <f>+H72*1000000</f>
        <v>5331619000.00001</v>
      </c>
      <c r="I75" s="33">
        <f>+I72*1000000</f>
        <v>5778953000</v>
      </c>
      <c r="J75" s="33">
        <f>+J72*1000000</f>
        <v>6000570460.09999</v>
      </c>
      <c r="K75" s="33">
        <f>+K72*1000000</f>
        <v>6266894736.44386</v>
      </c>
      <c r="L75" s="33">
        <f>+L72*1000000</f>
        <v>6559940259.75142</v>
      </c>
      <c r="M75" s="33">
        <f>+M72*1000000</f>
        <v>6827586000</v>
      </c>
      <c r="N75" s="33"/>
    </row>
    <row ht="12.8" outlineLevel="0"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M76" s="36"/>
      <c r="N76" s="36"/>
    </row>
    <row ht="12.8" outlineLevel="0"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M77" s="36"/>
      <c r="N77" s="36"/>
    </row>
    <row ht="12.8" outlineLevel="0"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M78" s="36"/>
      <c r="N78" s="36"/>
    </row>
    <row ht="12.8" outlineLevel="0" r="79">
      <c r="A79" s="49" t="s">
        <v>457</v>
      </c>
      <c r="B79" s="49"/>
      <c r="C79" s="49"/>
      <c r="D79" s="49"/>
      <c r="E79" s="49"/>
      <c r="F79" s="49"/>
      <c r="G79" s="49"/>
      <c r="H79" s="49"/>
      <c r="I79" s="29"/>
      <c r="J79" s="29"/>
      <c r="K79" s="29"/>
      <c r="M79" s="36"/>
      <c r="N79" s="36"/>
    </row>
    <row ht="12.8" outlineLevel="0" r="80">
      <c r="A80" s="34" t="s">
        <v>449</v>
      </c>
      <c r="B80" s="66" t="s">
        <v>458</v>
      </c>
      <c r="C80" s="30" t="s">
        <v>459</v>
      </c>
      <c r="D80" s="30" t="s">
        <v>460</v>
      </c>
      <c r="E80" s="30" t="s">
        <v>461</v>
      </c>
      <c r="F80" s="30" t="s">
        <v>462</v>
      </c>
      <c r="G80" s="30" t="s">
        <v>463</v>
      </c>
      <c r="H80" s="30" t="s">
        <v>464</v>
      </c>
      <c r="I80" s="30" t="s">
        <v>465</v>
      </c>
      <c r="J80" s="30" t="s">
        <v>466</v>
      </c>
      <c r="K80" s="67" t="s">
        <v>467</v>
      </c>
      <c r="M80" s="36"/>
      <c r="N80" s="36"/>
    </row>
    <row ht="12.8" outlineLevel="0" r="81">
      <c r="A81" s="54" t="s">
        <v>434</v>
      </c>
      <c r="B81" s="56">
        <f>G59</f>
        <v>1134.71733475</v>
      </c>
      <c r="C81" s="56">
        <f>H59</f>
        <v>1219.64580902</v>
      </c>
      <c r="D81" s="56">
        <f>I59</f>
        <v>1243.28013216</v>
      </c>
      <c r="E81" s="56">
        <f>J59</f>
        <v>1282.514801615</v>
      </c>
      <c r="F81" s="56">
        <f>K59</f>
        <v>1360.549861261</v>
      </c>
      <c r="G81" s="56">
        <f>L59</f>
        <v>1407.900047336</v>
      </c>
      <c r="H81" s="56">
        <f>M59</f>
        <v>1535.662595325</v>
      </c>
      <c r="I81" s="56">
        <f>N59</f>
        <v>1691.011536713</v>
      </c>
      <c r="J81" s="56">
        <f>O59</f>
        <v>1513.686530086</v>
      </c>
      <c r="K81" s="56">
        <f>P59</f>
        <v>1877.963552796</v>
      </c>
      <c r="M81" s="36"/>
      <c r="N81" s="36"/>
    </row>
    <row ht="12.8" outlineLevel="0" r="82">
      <c r="A82" s="28" t="s">
        <v>300</v>
      </c>
      <c r="B82" s="57">
        <f>G60</f>
        <v>348</v>
      </c>
      <c r="C82" s="57">
        <f>H60</f>
        <v>376</v>
      </c>
      <c r="D82" s="57">
        <f>I60</f>
        <v>400</v>
      </c>
      <c r="E82" s="57">
        <f>J60</f>
        <v>425</v>
      </c>
      <c r="F82" s="57">
        <f>K60</f>
        <v>459</v>
      </c>
      <c r="G82" s="57">
        <f>L60</f>
        <v>464.984461185</v>
      </c>
      <c r="H82" s="57">
        <f>M60</f>
        <v>507.174142212</v>
      </c>
      <c r="I82" s="57">
        <f>N60</f>
        <v>545.808990701</v>
      </c>
      <c r="J82" s="57">
        <f>O60</f>
        <v>516.831237083</v>
      </c>
      <c r="K82" s="57">
        <f>P60</f>
        <v>662.708434476</v>
      </c>
      <c r="M82" s="36"/>
      <c r="N82" s="36"/>
    </row>
    <row ht="12.8" outlineLevel="0" r="83">
      <c r="A83" s="28" t="s">
        <v>301</v>
      </c>
      <c r="B83" s="57">
        <f>G61</f>
        <v>590</v>
      </c>
      <c r="C83" s="57">
        <f>H61</f>
        <v>643</v>
      </c>
      <c r="D83" s="57">
        <f>I61</f>
        <v>671</v>
      </c>
      <c r="E83" s="57">
        <f>J61</f>
        <v>688</v>
      </c>
      <c r="F83" s="57">
        <f>K61</f>
        <v>730</v>
      </c>
      <c r="G83" s="57">
        <f>L61</f>
        <v>799.732985808</v>
      </c>
      <c r="H83" s="57">
        <f>M61</f>
        <v>844.483544948</v>
      </c>
      <c r="I83" s="57">
        <f>N61</f>
        <v>853.403750008</v>
      </c>
      <c r="J83" s="57">
        <f>O61</f>
        <v>825.602244073</v>
      </c>
      <c r="K83" s="57">
        <f>P61</f>
        <v>982.994532107</v>
      </c>
      <c r="M83" s="36"/>
      <c r="N83" s="36"/>
    </row>
    <row ht="12.8" outlineLevel="0" r="84">
      <c r="A84" s="28" t="s">
        <v>436</v>
      </c>
      <c r="B84" s="57">
        <f>G62</f>
        <v>196.71733475</v>
      </c>
      <c r="C84" s="57">
        <f>H62</f>
        <v>200.64580902</v>
      </c>
      <c r="D84" s="57">
        <f>I62</f>
        <v>172.28013216</v>
      </c>
      <c r="E84" s="57">
        <f>J62</f>
        <v>169.514801615</v>
      </c>
      <c r="F84" s="57">
        <f>K62</f>
        <v>171.549861261</v>
      </c>
      <c r="G84" s="57">
        <f>L62</f>
        <v>143.182600343</v>
      </c>
      <c r="H84" s="57">
        <f>M62</f>
        <v>184.004908165</v>
      </c>
      <c r="I84" s="57">
        <f>N62</f>
        <v>291.798796004</v>
      </c>
      <c r="J84" s="57">
        <f>O62</f>
        <v>171.25304893</v>
      </c>
      <c r="K84" s="57">
        <f>P62</f>
        <v>232.260586213</v>
      </c>
      <c r="M84" s="36"/>
      <c r="N84" s="36"/>
      <c r="R84" s="58"/>
    </row>
    <row ht="12.8" outlineLevel="0" r="85">
      <c r="A85" s="54" t="s">
        <v>325</v>
      </c>
      <c r="B85" s="56">
        <f>G63</f>
        <v>517.78398623</v>
      </c>
      <c r="C85" s="56">
        <f>H63</f>
        <v>563.55159112</v>
      </c>
      <c r="D85" s="56">
        <f>I63</f>
        <v>601.70193483</v>
      </c>
      <c r="E85" s="56">
        <f>J63</f>
        <v>607.9920595653</v>
      </c>
      <c r="F85" s="56">
        <f>K63</f>
        <v>650.62028675442</v>
      </c>
      <c r="G85" s="56">
        <f>L63</f>
        <v>680.64572336468</v>
      </c>
      <c r="H85" s="56">
        <f>M63</f>
        <v>730.31419185843</v>
      </c>
      <c r="I85" s="56">
        <f>N63</f>
        <v>785.35294711871</v>
      </c>
      <c r="J85" s="56">
        <f>O63</f>
        <v>861.74326405485</v>
      </c>
      <c r="K85" s="56">
        <f>P63</f>
        <v>906.60034946817</v>
      </c>
      <c r="M85" s="36"/>
      <c r="N85" s="36"/>
    </row>
    <row ht="12.8" outlineLevel="0" r="86">
      <c r="A86" s="28" t="s">
        <v>437</v>
      </c>
      <c r="B86" s="57">
        <f>G64</f>
        <v>184</v>
      </c>
      <c r="C86" s="57">
        <f>H64</f>
        <v>203</v>
      </c>
      <c r="D86" s="57">
        <f>I64</f>
        <v>218</v>
      </c>
      <c r="E86" s="57">
        <f>J64</f>
        <v>214</v>
      </c>
      <c r="F86" s="57">
        <f>K64</f>
        <v>239</v>
      </c>
      <c r="G86" s="57">
        <f>L64</f>
        <v>239.65644504769</v>
      </c>
      <c r="H86" s="57">
        <f>M64</f>
        <v>266.52128242818</v>
      </c>
      <c r="I86" s="57">
        <f>N64</f>
        <v>298.25990010703</v>
      </c>
      <c r="J86" s="57">
        <f>O64</f>
        <v>378.40633574584</v>
      </c>
      <c r="K86" s="57">
        <f>P64</f>
        <v>352.33786408778</v>
      </c>
      <c r="M86" s="36"/>
      <c r="N86" s="36"/>
    </row>
    <row ht="12.8" outlineLevel="0" r="87">
      <c r="A87" s="28" t="s">
        <v>438</v>
      </c>
      <c r="B87" s="57">
        <f>G65</f>
        <v>274</v>
      </c>
      <c r="C87" s="57">
        <f>H65</f>
        <v>298</v>
      </c>
      <c r="D87" s="57">
        <f>I65</f>
        <v>319</v>
      </c>
      <c r="E87" s="57">
        <f>J65</f>
        <v>326</v>
      </c>
      <c r="F87" s="57">
        <f>K65</f>
        <v>342</v>
      </c>
      <c r="G87" s="57">
        <f>L65</f>
        <v>361.22183405333</v>
      </c>
      <c r="H87" s="57">
        <f>M65</f>
        <v>380.19038285693</v>
      </c>
      <c r="I87" s="57">
        <f>N65</f>
        <v>404.52832854505</v>
      </c>
      <c r="J87" s="57">
        <f>O65</f>
        <v>396.05230210114</v>
      </c>
      <c r="K87" s="57">
        <f>P65</f>
        <v>451.17503789012</v>
      </c>
      <c r="M87" s="36"/>
      <c r="N87" s="36"/>
    </row>
    <row ht="12.8" outlineLevel="0" r="88">
      <c r="A88" s="28" t="s">
        <v>443</v>
      </c>
      <c r="B88" s="57">
        <f>G66</f>
        <v>59.7839862300002</v>
      </c>
      <c r="C88" s="57">
        <f>H66</f>
        <v>62.5515911199999</v>
      </c>
      <c r="D88" s="57">
        <f>I66</f>
        <v>64.70193483</v>
      </c>
      <c r="E88" s="57">
        <f>J66</f>
        <v>67.9920595653</v>
      </c>
      <c r="F88" s="57">
        <f>K66</f>
        <v>69.6202867544199</v>
      </c>
      <c r="G88" s="57">
        <f>L66</f>
        <v>79.76744426366</v>
      </c>
      <c r="H88" s="57">
        <f>M66</f>
        <v>83.60252657332</v>
      </c>
      <c r="I88" s="57">
        <f>N66</f>
        <v>82.5647184666299</v>
      </c>
      <c r="J88" s="57">
        <f>O66</f>
        <v>87.2846262078701</v>
      </c>
      <c r="K88" s="57">
        <f>P66</f>
        <v>103.08744749027</v>
      </c>
      <c r="M88" s="36"/>
      <c r="N88" s="36"/>
    </row>
    <row ht="12.8" outlineLevel="0" r="89">
      <c r="A89" s="34" t="s">
        <v>444</v>
      </c>
      <c r="B89" s="61">
        <f>G67</f>
        <v>616.93334852</v>
      </c>
      <c r="C89" s="61">
        <f>H67</f>
        <v>656.0942179</v>
      </c>
      <c r="D89" s="61">
        <f>I67</f>
        <v>641.57819733</v>
      </c>
      <c r="E89" s="61">
        <f>J67</f>
        <v>674.5227420497</v>
      </c>
      <c r="F89" s="61">
        <f>K67</f>
        <v>709.92957450658</v>
      </c>
      <c r="G89" s="61">
        <f>L67</f>
        <v>727.25432397132</v>
      </c>
      <c r="H89" s="61">
        <f>M67</f>
        <v>805.34840346657</v>
      </c>
      <c r="I89" s="61">
        <f>N67</f>
        <v>905.65858959429</v>
      </c>
      <c r="J89" s="61">
        <f>O67</f>
        <v>651.94326603115</v>
      </c>
      <c r="K89" s="61">
        <f>P67</f>
        <v>971.36320332783</v>
      </c>
      <c r="M89" s="36"/>
      <c r="N89" s="36"/>
    </row>
    <row ht="12.8" outlineLevel="0" r="90">
      <c r="A90" s="28" t="s">
        <v>450</v>
      </c>
      <c r="H90" s="29"/>
      <c r="I90" s="29"/>
      <c r="J90" s="29"/>
      <c r="K90" s="29"/>
      <c r="M90" s="36"/>
      <c r="N90" s="36"/>
    </row>
    <row ht="12.8" outlineLevel="0" r="91">
      <c r="H91" s="29"/>
      <c r="I91" s="29"/>
      <c r="J91" s="29"/>
      <c r="K91" s="29"/>
      <c r="M91" s="36"/>
      <c r="N91" s="36"/>
    </row>
    <row ht="12.8" outlineLevel="0" r="92">
      <c r="A92" s="34" t="s">
        <v>433</v>
      </c>
      <c r="B92" s="34">
        <f>G70</f>
        <v>2012</v>
      </c>
      <c r="C92" s="34">
        <f>H70</f>
        <v>2013</v>
      </c>
      <c r="D92" s="34">
        <f>I70</f>
        <v>2014</v>
      </c>
      <c r="E92" s="34">
        <f>J70</f>
        <v>2015</v>
      </c>
      <c r="F92" s="34">
        <f>K70</f>
        <v>2016</v>
      </c>
      <c r="G92" s="34">
        <f>L70</f>
        <v>2017</v>
      </c>
      <c r="H92" s="34">
        <f>M70</f>
        <v>2018</v>
      </c>
      <c r="I92" s="29"/>
      <c r="J92" s="29"/>
      <c r="K92" s="29"/>
      <c r="M92" s="36"/>
      <c r="N92" s="36"/>
    </row>
    <row ht="12.8" outlineLevel="0" r="93">
      <c r="A93" s="28" t="s">
        <v>451</v>
      </c>
      <c r="B93" s="38">
        <f>G71</f>
        <v>616.93334852</v>
      </c>
      <c r="C93" s="38">
        <f>H71</f>
        <v>656.0942179</v>
      </c>
      <c r="D93" s="38">
        <f>I71</f>
        <v>641.57819733</v>
      </c>
      <c r="E93" s="38">
        <f>J71</f>
        <v>674.5227420497</v>
      </c>
      <c r="F93" s="38">
        <f>K71</f>
        <v>709.92957450658</v>
      </c>
      <c r="G93" s="37">
        <f>L71</f>
        <v>727.25432397132</v>
      </c>
      <c r="H93" s="37">
        <f>M71</f>
        <v>805.34840346657</v>
      </c>
      <c r="I93" s="29"/>
      <c r="J93" s="29"/>
      <c r="K93" s="29"/>
      <c r="M93" s="36"/>
      <c r="N93" s="36"/>
    </row>
    <row ht="12.8" outlineLevel="0" r="94">
      <c r="A94" s="38" t="s">
        <v>452</v>
      </c>
      <c r="B94" s="38">
        <f>G72</f>
        <v>4814.76</v>
      </c>
      <c r="C94" s="38">
        <f>H72</f>
        <v>5331.61900000001</v>
      </c>
      <c r="D94" s="38">
        <f>I72</f>
        <v>5778.953</v>
      </c>
      <c r="E94" s="38">
        <f>J72</f>
        <v>6000.57046009999</v>
      </c>
      <c r="F94" s="38">
        <f>K72</f>
        <v>6266.89473644386</v>
      </c>
      <c r="G94" s="43">
        <f>L72</f>
        <v>6559.94025975142</v>
      </c>
      <c r="H94" s="68">
        <f>M72</f>
        <v>6827.586</v>
      </c>
      <c r="I94" s="29"/>
      <c r="J94" s="29"/>
      <c r="K94" s="29"/>
      <c r="M94" s="36"/>
      <c r="N94" s="36"/>
    </row>
    <row ht="12.8" outlineLevel="0" r="95">
      <c r="A95" s="47" t="s">
        <v>454</v>
      </c>
      <c r="B95" s="64">
        <f>G73</f>
        <v>0.128133769600146</v>
      </c>
      <c r="C95" s="64">
        <f>H73</f>
        <v>0.123057221061745</v>
      </c>
      <c r="D95" s="64">
        <f>I73</f>
        <v>0.111019798453111</v>
      </c>
      <c r="E95" s="64">
        <f>J73</f>
        <v>0.112409769460229</v>
      </c>
      <c r="F95" s="64">
        <f>K73</f>
        <v>0.113282511413209</v>
      </c>
      <c r="G95" s="64">
        <f>L73</f>
        <v>0.110862949230406</v>
      </c>
      <c r="H95" s="64">
        <f>M73</f>
        <v>0.117955072768995</v>
      </c>
      <c r="I95" s="29"/>
      <c r="J95" s="29"/>
      <c r="K95" s="29"/>
      <c r="M95" s="36"/>
      <c r="N95" s="36"/>
    </row>
    <row ht="12.8" outlineLevel="0"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M96" s="36"/>
      <c r="N96" s="36"/>
    </row>
    <row ht="12.8" outlineLevel="0"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M97" s="36"/>
      <c r="N97" s="36"/>
    </row>
    <row ht="12.8" outlineLevel="0"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M98" s="36"/>
      <c r="N98" s="36"/>
    </row>
    <row ht="12.8" outlineLevel="0"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M99" s="36"/>
      <c r="N99" s="36"/>
    </row>
    <row ht="12.8" outlineLevel="0"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M100" s="36"/>
      <c r="N100" s="36"/>
    </row>
    <row ht="12.8" outlineLevel="0" r="101">
      <c r="A101" s="69" t="s">
        <v>449</v>
      </c>
      <c r="B101" s="70">
        <v>2007</v>
      </c>
      <c r="C101" s="70">
        <v>2008</v>
      </c>
      <c r="D101" s="70">
        <v>2009</v>
      </c>
      <c r="E101" s="70">
        <v>2010</v>
      </c>
      <c r="F101" s="70">
        <v>2011</v>
      </c>
      <c r="G101" s="70">
        <v>2012</v>
      </c>
      <c r="H101" s="70">
        <v>2013</v>
      </c>
      <c r="I101" s="70">
        <v>2014</v>
      </c>
      <c r="J101" s="70">
        <v>2015</v>
      </c>
      <c r="K101" s="71">
        <v>2016</v>
      </c>
      <c r="L101" s="72">
        <v>2017</v>
      </c>
      <c r="M101" s="36"/>
      <c r="N101" s="36"/>
      <c r="P101" s="50"/>
      <c r="Q101" s="50"/>
      <c r="R101" s="50"/>
      <c r="S101" s="53"/>
      <c r="T101" s="50"/>
      <c r="U101" s="50"/>
      <c r="V101" s="50"/>
      <c r="W101" s="50"/>
    </row>
    <row ht="12.8" outlineLevel="0" r="102">
      <c r="A102" s="73" t="s">
        <v>444</v>
      </c>
      <c r="B102" s="74">
        <v>386.68185721</v>
      </c>
      <c r="C102" s="74">
        <v>428.56328792</v>
      </c>
      <c r="D102" s="74">
        <v>437.20033633</v>
      </c>
      <c r="E102" s="74">
        <v>499.86661296</v>
      </c>
      <c r="F102" s="74">
        <v>558.7063866</v>
      </c>
      <c r="G102" s="74">
        <v>616.93334852</v>
      </c>
      <c r="H102" s="74">
        <v>656.0942179</v>
      </c>
      <c r="I102" s="74">
        <v>641.57819733</v>
      </c>
      <c r="J102" s="74">
        <v>674.5227420497</v>
      </c>
      <c r="K102" s="75">
        <v>709.92957450658</v>
      </c>
      <c r="L102" s="76">
        <v>727.25432397132</v>
      </c>
      <c r="M102" s="36"/>
      <c r="N102" s="36"/>
    </row>
    <row ht="12.8" outlineLevel="0" r="103">
      <c r="A103" s="77" t="s">
        <v>468</v>
      </c>
      <c r="B103" s="78">
        <f>(102719990+709440)/1000000</f>
        <v>103.42943</v>
      </c>
      <c r="C103" s="78">
        <v>121.07489</v>
      </c>
      <c r="D103" s="78">
        <v>136.983823</v>
      </c>
      <c r="E103" s="78">
        <v>153.231654</v>
      </c>
      <c r="F103" s="78">
        <v>167.093487</v>
      </c>
      <c r="G103" s="78">
        <v>169.113071</v>
      </c>
      <c r="H103" s="78">
        <v>189.118213</v>
      </c>
      <c r="I103" s="78">
        <v>202.437661</v>
      </c>
      <c r="J103" s="78">
        <v>218.010679</v>
      </c>
      <c r="K103" s="79">
        <v>225.422032</v>
      </c>
      <c r="L103" s="80">
        <v>256.088166</v>
      </c>
      <c r="M103" s="36"/>
      <c r="N103" s="36"/>
    </row>
    <row ht="12.8" outlineLevel="0" r="104">
      <c r="A104" s="81" t="s">
        <v>469</v>
      </c>
      <c r="B104" s="82">
        <f>+B103/B102</f>
        <v>0.267479397006799</v>
      </c>
      <c r="C104" s="82">
        <f>+C103/C102</f>
        <v>0.282513442968081</v>
      </c>
      <c r="D104" s="82">
        <f>+D103/D102</f>
        <v>0.313320488611437</v>
      </c>
      <c r="E104" s="82">
        <f>+E103/E102</f>
        <v>0.306545086283372</v>
      </c>
      <c r="F104" s="82">
        <f>+F103/F102</f>
        <v>0.29907209047107</v>
      </c>
      <c r="G104" s="82">
        <f>+G103/G102</f>
        <v>0.274118867792924</v>
      </c>
      <c r="H104" s="82">
        <f>+H103/H102</f>
        <v>0.288248559186091</v>
      </c>
      <c r="I104" s="82">
        <f>+I103/I102</f>
        <v>0.31553076747693</v>
      </c>
      <c r="J104" s="82">
        <f>+J103/J102</f>
        <v>0.323207307047235</v>
      </c>
      <c r="K104" s="83">
        <f>+K103/K102</f>
        <v>0.317527315518126</v>
      </c>
      <c r="L104" s="84">
        <f>+L103/L102</f>
        <v>0.352130138740982</v>
      </c>
      <c r="M104" s="36"/>
      <c r="N104" s="36"/>
    </row>
    <row ht="12.8" outlineLevel="0" r="105">
      <c r="A105" s="85" t="s">
        <v>470</v>
      </c>
      <c r="B105" s="86">
        <f>+B106*B102</f>
        <v>112.52442044811</v>
      </c>
      <c r="C105" s="86">
        <f>+C106*C102</f>
        <v>130.7118028156</v>
      </c>
      <c r="D105" s="86">
        <f>+D106*D102</f>
        <v>149.52251502486</v>
      </c>
      <c r="E105" s="86">
        <f>+E106*E102</f>
        <v>166.45558211568</v>
      </c>
      <c r="F105" s="86">
        <f>+F106*F102</f>
        <v>179.3447500986</v>
      </c>
      <c r="G105" s="86">
        <f>+G106*G102</f>
        <v>185.080004556</v>
      </c>
      <c r="H105" s="86">
        <f>+H106*H102</f>
        <v>204.0453017669</v>
      </c>
      <c r="I105" s="86">
        <f>+I106*I102</f>
        <v>220.70289988152</v>
      </c>
      <c r="J105" s="86">
        <f>+J106*J102</f>
        <v>256.318641978886</v>
      </c>
      <c r="K105" s="87">
        <f>+K106*K102</f>
        <v>277.582463632073</v>
      </c>
      <c r="L105" s="88">
        <f>+L106*L102</f>
        <v>303.992307420012</v>
      </c>
      <c r="M105" s="36"/>
      <c r="N105" s="36"/>
    </row>
    <row ht="12.8" outlineLevel="0" r="106">
      <c r="A106" s="89" t="s">
        <v>469</v>
      </c>
      <c r="B106" s="90">
        <v>0.291</v>
      </c>
      <c r="C106" s="90">
        <v>0.305</v>
      </c>
      <c r="D106" s="90">
        <v>0.342</v>
      </c>
      <c r="E106" s="90">
        <v>0.333</v>
      </c>
      <c r="F106" s="90">
        <v>0.321</v>
      </c>
      <c r="G106" s="90">
        <v>0.3</v>
      </c>
      <c r="H106" s="90">
        <v>0.311</v>
      </c>
      <c r="I106" s="90">
        <v>0.344</v>
      </c>
      <c r="J106" s="90">
        <v>0.38</v>
      </c>
      <c r="K106" s="91">
        <v>0.391</v>
      </c>
      <c r="L106" s="92">
        <v>0.418</v>
      </c>
      <c r="M106" s="36"/>
      <c r="N106" s="36"/>
    </row>
    <row ht="12.8" outlineLevel="0" r="107">
      <c r="C107" s="36"/>
      <c r="D107" s="36"/>
      <c r="E107" s="36"/>
      <c r="F107" s="36"/>
      <c r="G107" s="36"/>
      <c r="H107" s="36"/>
      <c r="I107" s="36"/>
      <c r="J107" s="36"/>
      <c r="K107" s="36"/>
      <c r="L107" s="93"/>
    </row>
    <row ht="12.8" outlineLevel="0" r="108">
      <c r="C108" s="36"/>
      <c r="D108" s="36"/>
      <c r="E108" s="36"/>
      <c r="F108" s="36"/>
      <c r="G108" s="36"/>
      <c r="H108" s="36"/>
      <c r="I108" s="36"/>
      <c r="J108" s="36"/>
      <c r="K108" s="36"/>
      <c r="L108" s="94"/>
    </row>
    <row ht="12.8" outlineLevel="0" r="109">
      <c r="C109" s="36"/>
      <c r="D109" s="36"/>
      <c r="E109" s="36"/>
      <c r="F109" s="36"/>
      <c r="G109" s="36"/>
      <c r="H109" s="36"/>
      <c r="I109" s="36"/>
      <c r="J109" s="36"/>
      <c r="K109" s="36"/>
      <c r="L109" s="93"/>
    </row>
  </sheetData>
  <mergeCells count="6">
    <mergeCell ref="M14:AA17"/>
    <mergeCell ref="A51:K51"/>
    <mergeCell ref="A52:K52"/>
    <mergeCell ref="A53:K53"/>
    <mergeCell ref="M53:W53"/>
    <mergeCell ref="A79:H79"/>
  </mergeCells>
  <hyperlinks>
    <hyperlink ref="Q72" r:id="rId2" display="https://ww2.ibge.gov.br/home/estatistica/indicadores/pib/pib-vol-val_201801_8.shtm"/>
    <hyperlink ref="Q74" r:id="rId3" display="https://www.ibge.gov.br/estatisticas/economicas/contas-nacionais/9300-contas-nacionais-trimestrais.html?=&amp;t=resultados"/>
  </hyperlinks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  <legacyDrawing r:id="rId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00B050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3"/>
  <cols>
    <col min="1" max="1" width="23.08" style="1" customWidth="1"/>
    <col min="2" max="2" width="25.38" style="1" customWidth="1"/>
    <col min="3" max="3" width="16.47" style="95" customWidth="1"/>
    <col min="4" max="4" width="21.46" style="1" customWidth="1"/>
    <col min="5" max="6" width="19.98" style="1" customWidth="1"/>
    <col min="7" max="7" width="20.25" style="1" customWidth="1"/>
    <col min="8" max="9" width="21.19" style="1" customWidth="1"/>
    <col min="10" max="10" width="15.53" style="1" customWidth="1"/>
    <col min="11" max="11" width="23.89" style="1" customWidth="1"/>
    <col min="12" max="15" width="15.53" style="1" customWidth="1"/>
    <col min="16" max="16" width="18.77" style="1" customWidth="1"/>
    <col min="17" max="28" width="15.53" style="1" customWidth="1"/>
    <col min="29" max="29" width="19.17" style="1" customWidth="1"/>
    <col min="30" max="30" width="15.12" style="1" customWidth="1"/>
    <col min="31" max="31" width="16.33" style="1" customWidth="1"/>
    <col min="32" max="33" width="18.77" style="1" customWidth="1"/>
    <col min="34" max="34" width="19.84" style="1" customWidth="1"/>
    <col min="35" max="36" width="16.33" style="1" customWidth="1"/>
    <col min="37" max="1025" width="15.53" style="1" customWidth="1"/>
  </cols>
  <sheetData>
    <row ht="13.8" outlineLevel="0" r="1">
      <c r="A1" s="1" t="s">
        <v>471</v>
      </c>
    </row>
    <row ht="13.8" outlineLevel="0" r="2">
      <c r="A2" s="96" t="s">
        <v>298</v>
      </c>
      <c r="B2" s="97" t="e">
        <f>RCL!C30</f>
        <v>#NAME?</v>
      </c>
      <c r="C2" s="98"/>
    </row>
    <row ht="13.8" outlineLevel="0" r="3">
      <c r="A3" s="96" t="s">
        <v>472</v>
      </c>
      <c r="B3" s="97" t="e">
        <f>EDATE(B2,-12)</f>
        <v>#NAME?</v>
      </c>
      <c r="C3" s="98"/>
    </row>
    <row ht="13.8" outlineLevel="0" r="4">
      <c r="E4" s="99"/>
    </row>
    <row ht="13.8" outlineLevel="0" r="8">
      <c r="E8" s="100"/>
      <c r="F8" s="100"/>
      <c r="G8" s="99"/>
      <c r="H8" s="99"/>
    </row>
    <row ht="13.8" outlineLevel="0" r="9">
      <c r="E9" s="100"/>
      <c r="F9" s="100"/>
      <c r="G9" s="99"/>
      <c r="H9" s="99"/>
    </row>
    <row ht="13.8" outlineLevel="0" r="11">
      <c r="E11" s="101" t="s">
        <v>473</v>
      </c>
      <c r="F11" s="102" t="e">
        <f>TEXT(B2,"mmmm")</f>
        <v>#NAME?</v>
      </c>
    </row>
    <row ht="13.8" outlineLevel="0" r="12">
      <c r="B12" s="2" t="s">
        <v>474</v>
      </c>
      <c r="C12" s="2" t="s">
        <v>475</v>
      </c>
      <c r="D12" s="2" t="s">
        <v>476</v>
      </c>
      <c r="E12" s="103" t="s">
        <v>477</v>
      </c>
      <c r="F12" s="104" t="s">
        <v>478</v>
      </c>
      <c r="H12" s="1" t="s">
        <v>479</v>
      </c>
    </row>
    <row ht="13.8" outlineLevel="0" r="13">
      <c r="B13" s="2"/>
      <c r="C13" s="105"/>
      <c r="D13" s="2"/>
      <c r="E13" s="103" t="e">
        <f>YEAR(B2)</f>
        <v>#NAME?</v>
      </c>
      <c r="F13" s="103" t="e">
        <f>YEAR(B3)</f>
        <v>#NAME?</v>
      </c>
      <c r="G13" s="99" t="e">
        <f>E14/F14-1</f>
        <v>#NAME?</v>
      </c>
      <c r="H13" s="99" t="e">
        <f>+G27</f>
        <v>#NAME?</v>
      </c>
      <c r="I13" s="99" t="e">
        <f>+IF(H13&gt;0,H13,-H13)</f>
        <v>#NAME?</v>
      </c>
    </row>
    <row ht="13.8" outlineLevel="0" r="14">
      <c r="B14" s="2" t="s">
        <v>480</v>
      </c>
      <c r="C14" s="106" t="s">
        <v>480</v>
      </c>
      <c r="D14" s="2">
        <f>MATCH(C14,'Previdência_(série)'!$A$1:$AP$1,0)</f>
        <v>2</v>
      </c>
      <c r="E14" s="107" t="e">
        <f>VLOOKUP($B$2,'Previdência_(série)'!$A$1:$AF$166,'Previdência_-_Gráficos'!$D14,0)/1000000</f>
        <v>#NAME?</v>
      </c>
      <c r="F14" s="107" t="e">
        <f>VLOOKUP($B$3,'Previdência_(série)'!$A$1:$AF$166,'Previdência_-_Gráficos'!$D14,0)/1000000</f>
        <v>#NAME?</v>
      </c>
      <c r="G14" s="99" t="e">
        <f>E15/F15-1</f>
        <v>#NAME?</v>
      </c>
      <c r="H14" s="99" t="e">
        <f>+G26</f>
        <v>#NAME?</v>
      </c>
      <c r="I14" s="99" t="e">
        <f>+IF(H14&gt;0,H14,-H14)</f>
        <v>#NAME?</v>
      </c>
    </row>
    <row ht="13.8" outlineLevel="0" r="15">
      <c r="B15" s="2" t="s">
        <v>481</v>
      </c>
      <c r="C15" s="106" t="s">
        <v>481</v>
      </c>
      <c r="D15" s="2">
        <f>MATCH(C15,'Previdência_(série)'!$A$1:$AP$1,0)</f>
        <v>5</v>
      </c>
      <c r="E15" s="107" t="e">
        <f>VLOOKUP($B$2,'Previdência_(série)'!$A$1:$AF$166,'Previdência_-_Gráficos'!$D15,0)/1000000</f>
        <v>#NAME?</v>
      </c>
      <c r="F15" s="107" t="e">
        <f>VLOOKUP($B$3,'Previdência_(série)'!$A$1:$AF$166,'Previdência_-_Gráficos'!$D15,0)/1000000</f>
        <v>#NAME?</v>
      </c>
      <c r="G15" s="99" t="e">
        <f>E16/F16-1</f>
        <v>#NAME?</v>
      </c>
      <c r="H15" s="99" t="e">
        <f>+G25</f>
        <v>#NAME?</v>
      </c>
      <c r="I15" s="99" t="e">
        <f>+IF(H15&gt;0,H15,-H15)</f>
        <v>#NAME?</v>
      </c>
    </row>
    <row ht="13.8" outlineLevel="0" r="16">
      <c r="B16" s="2" t="s">
        <v>482</v>
      </c>
      <c r="C16" s="106"/>
      <c r="D16" s="2"/>
      <c r="E16" s="107" t="e">
        <f>E15-E14</f>
        <v>#NAME?</v>
      </c>
      <c r="F16" s="107" t="e">
        <f>F15-F14</f>
        <v>#NAME?</v>
      </c>
    </row>
    <row ht="13.8" outlineLevel="0" r="17">
      <c r="B17" s="2"/>
      <c r="C17" s="106"/>
      <c r="D17" s="2"/>
      <c r="E17" s="108"/>
      <c r="F17" s="2"/>
      <c r="G17" s="99" t="e">
        <f>E18/F18-1</f>
        <v>#NAME?</v>
      </c>
      <c r="H17" s="99" t="e">
        <f>+G23</f>
        <v>#NAME?</v>
      </c>
      <c r="I17" s="99" t="e">
        <f>+IF(H17&gt;0,H17,-H17)</f>
        <v>#NAME?</v>
      </c>
      <c r="S17" s="1" t="s">
        <v>483</v>
      </c>
    </row>
    <row ht="13.8" outlineLevel="0" r="18">
      <c r="B18" s="2" t="s">
        <v>484</v>
      </c>
      <c r="C18" s="106" t="s">
        <v>484</v>
      </c>
      <c r="D18" s="2">
        <f>MATCH(C18,'Previdência_(série)'!$A$1:$AP$1,0)</f>
        <v>8</v>
      </c>
      <c r="E18" s="107" t="e">
        <f>VLOOKUP($B$2,'Previdência_(série)'!$A$1:$AF$166,'Previdência_-_Gráficos'!$D18,0)/1000000</f>
        <v>#NAME?</v>
      </c>
      <c r="F18" s="107" t="e">
        <f>VLOOKUP($B$3,'Previdência_(série)'!$A$1:$AF$166,'Previdência_-_Gráficos'!$D18,0)/1000000</f>
        <v>#NAME?</v>
      </c>
      <c r="G18" s="99" t="e">
        <f>E19/F19-1</f>
        <v>#NAME?</v>
      </c>
      <c r="H18" s="99" t="e">
        <f>+G22</f>
        <v>#NAME?</v>
      </c>
      <c r="I18" s="99" t="e">
        <f>+IF(H18&gt;0,H18,-H18)</f>
        <v>#NAME?</v>
      </c>
    </row>
    <row ht="13.8" outlineLevel="0" r="19">
      <c r="B19" s="2" t="s">
        <v>485</v>
      </c>
      <c r="C19" s="106" t="s">
        <v>485</v>
      </c>
      <c r="D19" s="2">
        <f>MATCH(C19,'Previdência_(série)'!$A$1:$AP$1,0)</f>
        <v>11</v>
      </c>
      <c r="E19" s="107" t="e">
        <f>VLOOKUP($B$2,'Previdência_(série)'!$A$1:$AF$166,'Previdência_-_Gráficos'!$D19,0)/1000000</f>
        <v>#NAME?</v>
      </c>
      <c r="F19" s="107" t="e">
        <f>VLOOKUP($B$3,'Previdência_(série)'!$A$1:$AF$166,'Previdência_-_Gráficos'!$D19,0)/1000000</f>
        <v>#NAME?</v>
      </c>
      <c r="G19" s="99" t="e">
        <f>E20/F20-1</f>
        <v>#NAME?</v>
      </c>
      <c r="H19" s="99" t="e">
        <f>+G21</f>
        <v>#NAME?</v>
      </c>
      <c r="I19" s="99" t="e">
        <f>+IF(H19&gt;0,H19,-H19)</f>
        <v>#NAME?</v>
      </c>
    </row>
    <row ht="13.8" outlineLevel="0" r="20">
      <c r="B20" s="2" t="s">
        <v>486</v>
      </c>
      <c r="C20" s="106"/>
      <c r="D20" s="2"/>
      <c r="E20" s="107" t="e">
        <f>(E19-E18)</f>
        <v>#NAME?</v>
      </c>
      <c r="F20" s="107" t="e">
        <f>(F19-F18)</f>
        <v>#NAME?</v>
      </c>
    </row>
    <row ht="13.8" outlineLevel="0" r="21">
      <c r="B21" s="2"/>
      <c r="C21" s="106"/>
      <c r="D21" s="2"/>
      <c r="E21" s="108"/>
      <c r="F21" s="2"/>
      <c r="G21" s="99" t="e">
        <f>E22/F22-1</f>
        <v>#NAME?</v>
      </c>
      <c r="H21" s="99" t="e">
        <f>+G19</f>
        <v>#NAME?</v>
      </c>
      <c r="I21" s="99" t="e">
        <f>+IF(H21&gt;0,H21,-H21)</f>
        <v>#NAME?</v>
      </c>
    </row>
    <row ht="13.8" outlineLevel="0" r="22">
      <c r="B22" s="2" t="s">
        <v>487</v>
      </c>
      <c r="C22" s="106" t="s">
        <v>488</v>
      </c>
      <c r="D22" s="2">
        <f>MATCH(C22,'Previdência_(série)'!$A$1:$AP$1,0)</f>
        <v>14</v>
      </c>
      <c r="E22" s="107" t="e">
        <f>VLOOKUP($B$2,'Previdência_(série)'!$A$1:$AF$166,'Previdência_-_Gráficos'!$D22,0)/1000000</f>
        <v>#NAME?</v>
      </c>
      <c r="F22" s="107" t="e">
        <f>VLOOKUP($B$3,'Previdência_(série)'!$A$1:$AF$166,'Previdência_-_Gráficos'!$D22,0)/1000000</f>
        <v>#NAME?</v>
      </c>
      <c r="G22" s="99" t="e">
        <f>E23/F23-1</f>
        <v>#NAME?</v>
      </c>
      <c r="H22" s="99" t="e">
        <f>+G18</f>
        <v>#NAME?</v>
      </c>
      <c r="I22" s="99" t="e">
        <f>+IF(H22&gt;0,H22,-H22)</f>
        <v>#NAME?</v>
      </c>
    </row>
    <row ht="13.8" outlineLevel="0" r="23">
      <c r="B23" s="2" t="s">
        <v>489</v>
      </c>
      <c r="C23" s="106" t="s">
        <v>490</v>
      </c>
      <c r="D23" s="2">
        <f>MATCH(C23,'Previdência_(série)'!$A$1:$AP$1,0)</f>
        <v>17</v>
      </c>
      <c r="E23" s="107" t="e">
        <f>VLOOKUP($B$2,'Previdência_(série)'!$A$1:$AF$166,'Previdência_-_Gráficos'!$D23,0)/1000000</f>
        <v>#NAME?</v>
      </c>
      <c r="F23" s="107" t="e">
        <f>VLOOKUP($B$3,'Previdência_(série)'!$A$1:$AF$166,'Previdência_-_Gráficos'!$D23,0)/1000000</f>
        <v>#NAME?</v>
      </c>
      <c r="G23" s="99" t="e">
        <f>E24/F24-1</f>
        <v>#NAME?</v>
      </c>
      <c r="H23" s="99" t="e">
        <f>+G17</f>
        <v>#NAME?</v>
      </c>
      <c r="I23" s="99" t="e">
        <f>+IF(H23&gt;0,H23,-H23)</f>
        <v>#NAME?</v>
      </c>
    </row>
    <row ht="13.8" outlineLevel="0" r="24">
      <c r="B24" s="2" t="s">
        <v>491</v>
      </c>
      <c r="C24" s="106"/>
      <c r="D24" s="2"/>
      <c r="E24" s="107" t="e">
        <f>(E23-E22)</f>
        <v>#NAME?</v>
      </c>
      <c r="F24" s="107" t="e">
        <f>(F23-F22)</f>
        <v>#NAME?</v>
      </c>
    </row>
    <row ht="13.8" outlineLevel="0" r="25">
      <c r="B25" s="2"/>
      <c r="C25" s="106"/>
      <c r="D25" s="2"/>
      <c r="E25" s="2"/>
      <c r="F25" s="2"/>
      <c r="G25" s="99" t="e">
        <f>E26/F26-1</f>
        <v>#NAME?</v>
      </c>
      <c r="H25" s="99" t="e">
        <f>+G15</f>
        <v>#NAME?</v>
      </c>
      <c r="I25" s="99" t="e">
        <f>+IF(H25&gt;0,H25,-H25)</f>
        <v>#NAME?</v>
      </c>
    </row>
    <row ht="13.8" outlineLevel="0" r="26">
      <c r="B26" s="2" t="s">
        <v>492</v>
      </c>
      <c r="C26" s="106" t="s">
        <v>492</v>
      </c>
      <c r="D26" s="2">
        <f>MATCH(C26,'Previdência_(série)'!$A$1:$AP$1,0)</f>
        <v>20</v>
      </c>
      <c r="E26" s="107" t="e">
        <f>VLOOKUP($B$2,'Previdência_(série)'!$A$1:$AF$166,'Previdência_-_Gráficos'!$D26,0)/1000000</f>
        <v>#NAME?</v>
      </c>
      <c r="F26" s="107" t="e">
        <f>VLOOKUP($B$3,'Previdência_(série)'!$A$1:$AF$166,'Previdência_-_Gráficos'!$D26,0)/1000000</f>
        <v>#NAME?</v>
      </c>
      <c r="G26" s="99" t="e">
        <f>E27/F27-1</f>
        <v>#NAME?</v>
      </c>
      <c r="H26" s="99" t="e">
        <f>+G14</f>
        <v>#NAME?</v>
      </c>
      <c r="I26" s="99" t="e">
        <f>+IF(H26&gt;0,H26,-H26)</f>
        <v>#NAME?</v>
      </c>
    </row>
    <row ht="13.8" outlineLevel="0" r="27">
      <c r="B27" s="2" t="s">
        <v>493</v>
      </c>
      <c r="C27" s="106" t="s">
        <v>493</v>
      </c>
      <c r="D27" s="2">
        <f>MATCH(C27,'Previdência_(série)'!$A$1:$AP$1,0)</f>
        <v>23</v>
      </c>
      <c r="E27" s="107" t="e">
        <f>VLOOKUP($B$2,'Previdência_(série)'!$A$1:$AF$166,'Previdência_-_Gráficos'!$D27,0)/1000000</f>
        <v>#NAME?</v>
      </c>
      <c r="F27" s="107" t="e">
        <f>VLOOKUP($B$3,'Previdência_(série)'!$A$1:$AF$166,'Previdência_-_Gráficos'!$D27,0)/1000000</f>
        <v>#NAME?</v>
      </c>
      <c r="G27" s="99" t="e">
        <f>E28/F28-1</f>
        <v>#NAME?</v>
      </c>
      <c r="H27" s="99" t="e">
        <f>+G13</f>
        <v>#NAME?</v>
      </c>
      <c r="I27" s="99" t="e">
        <f>+IF(H27&gt;0,H27,-H27)</f>
        <v>#NAME?</v>
      </c>
    </row>
    <row ht="13.8" outlineLevel="0" r="28">
      <c r="B28" s="2" t="s">
        <v>494</v>
      </c>
      <c r="C28" s="106"/>
      <c r="D28" s="2"/>
      <c r="E28" s="107" t="e">
        <f>(E27-E26)</f>
        <v>#NAME?</v>
      </c>
      <c r="F28" s="107" t="e">
        <f>(F27-F26)</f>
        <v>#NAME?</v>
      </c>
      <c r="I28" s="99"/>
    </row>
    <row ht="13.8" outlineLevel="0" r="29">
      <c r="E29" s="100"/>
      <c r="F29" s="100"/>
      <c r="G29" s="99"/>
      <c r="H29" s="99"/>
    </row>
    <row ht="13.8" outlineLevel="0" r="30">
      <c r="E30" s="100"/>
      <c r="F30" s="100"/>
      <c r="G30" s="99"/>
      <c r="H30" s="99"/>
    </row>
    <row ht="13.8" outlineLevel="0" r="31">
      <c r="F31" s="3"/>
    </row>
    <row ht="13.8" outlineLevel="0" r="33">
      <c r="B33" s="2" t="s">
        <v>474</v>
      </c>
      <c r="C33" s="95" t="s">
        <v>475</v>
      </c>
      <c r="D33" s="2" t="s">
        <v>476</v>
      </c>
      <c r="E33" s="2" t="s">
        <v>495</v>
      </c>
      <c r="F33" s="103" t="s">
        <v>477</v>
      </c>
      <c r="G33" s="103" t="s">
        <v>478</v>
      </c>
      <c r="I33" s="1" t="s">
        <v>479</v>
      </c>
    </row>
    <row ht="13.8" outlineLevel="0" r="34">
      <c r="F34" s="109" t="e">
        <f>DATEVALUE(CONCATENATE("01","/","12","/",YEAR($B$3)))</f>
        <v>#NAME?</v>
      </c>
      <c r="G34" s="109" t="e">
        <f>EDATE('Previdência_-_Gráficos'!$F34,-12)</f>
        <v>#NAME?</v>
      </c>
      <c r="H34" s="99" t="e">
        <f>F35/G35-1</f>
        <v>#NAME?</v>
      </c>
      <c r="I34" s="99" t="e">
        <f>+H48</f>
        <v>#NAME?</v>
      </c>
      <c r="J34" s="99" t="e">
        <f>+IF(I34&gt;0,I34,-I34)</f>
        <v>#NAME?</v>
      </c>
    </row>
    <row ht="13.8" outlineLevel="0" r="35">
      <c r="B35" s="1" t="s">
        <v>480</v>
      </c>
      <c r="C35" s="95" t="s">
        <v>480</v>
      </c>
      <c r="D35" s="1">
        <f>MATCH(C35,'Previdência_(série)'!$A$1:$AP$1,0)</f>
        <v>2</v>
      </c>
      <c r="F35" s="100" t="e">
        <f>VLOOKUP(F$34,'Previdência_(série)'!$A$1:$AF$166,'Previdência_-_Gráficos'!$D35,0)/1000000</f>
        <v>#NAME?</v>
      </c>
      <c r="G35" s="100" t="e">
        <f>VLOOKUP(G$34,'Previdência_(série)'!$A$1:$AF$166,'Previdência_-_Gráficos'!$D35,0)/1000000</f>
        <v>#NAME?</v>
      </c>
      <c r="H35" s="99" t="e">
        <f>F36/G36-1</f>
        <v>#NAME?</v>
      </c>
      <c r="I35" s="99" t="e">
        <f>+H47</f>
        <v>#NAME?</v>
      </c>
      <c r="J35" s="99" t="e">
        <f>+IF(I35&gt;0,I35,-I35)</f>
        <v>#NAME?</v>
      </c>
      <c r="S35" s="1" t="s">
        <v>496</v>
      </c>
    </row>
    <row ht="13.8" outlineLevel="0" r="36">
      <c r="B36" s="1" t="s">
        <v>481</v>
      </c>
      <c r="C36" s="95" t="s">
        <v>481</v>
      </c>
      <c r="D36" s="1">
        <f>MATCH(C36,'Previdência_(série)'!$A$1:$AP$1,0)</f>
        <v>5</v>
      </c>
      <c r="F36" s="100" t="e">
        <f>VLOOKUP(F$34,'Previdência_(série)'!$A$1:$AF$166,'Previdência_-_Gráficos'!$D36,0)/1000000</f>
        <v>#NAME?</v>
      </c>
      <c r="G36" s="100" t="e">
        <f>VLOOKUP(G$34,'Previdência_(série)'!$A$1:$AF$166,'Previdência_-_Gráficos'!$D36,0)/1000000</f>
        <v>#NAME?</v>
      </c>
      <c r="H36" s="99" t="e">
        <f>F37/G37-1</f>
        <v>#NAME?</v>
      </c>
      <c r="I36" s="99" t="e">
        <f>+H46</f>
        <v>#NAME?</v>
      </c>
      <c r="J36" s="99" t="e">
        <f>+IF(I36&gt;0,I36,-I36)</f>
        <v>#NAME?</v>
      </c>
    </row>
    <row ht="13.8" outlineLevel="0" r="37">
      <c r="B37" s="1" t="s">
        <v>482</v>
      </c>
      <c r="F37" s="100" t="e">
        <f>+F36-F35</f>
        <v>#NAME?</v>
      </c>
      <c r="G37" s="100" t="e">
        <f>+G36-G35</f>
        <v>#NAME?</v>
      </c>
    </row>
    <row ht="13.8" outlineLevel="0" r="38">
      <c r="F38" s="100"/>
      <c r="G38" s="100"/>
      <c r="H38" s="99" t="e">
        <f>F39/G39-1</f>
        <v>#NAME?</v>
      </c>
      <c r="I38" s="99" t="e">
        <f>+H44</f>
        <v>#NAME?</v>
      </c>
      <c r="J38" s="99" t="e">
        <f>+IF(I38&gt;0,I38,-I38)</f>
        <v>#NAME?</v>
      </c>
    </row>
    <row ht="13.8" outlineLevel="0" r="39">
      <c r="B39" s="1" t="s">
        <v>484</v>
      </c>
      <c r="C39" s="95" t="s">
        <v>484</v>
      </c>
      <c r="D39" s="1">
        <f>MATCH(C39,'Previdência_(série)'!$A$1:$AP$1,0)</f>
        <v>8</v>
      </c>
      <c r="F39" s="100" t="e">
        <f>VLOOKUP(F$34,'Previdência_(série)'!$A$1:$AF$166,'Previdência_-_Gráficos'!$D39,0)/1000000</f>
        <v>#NAME?</v>
      </c>
      <c r="G39" s="100" t="e">
        <f>VLOOKUP(G$34,'Previdência_(série)'!$A$1:$AF$166,'Previdência_-_Gráficos'!$D39,0)/1000000</f>
        <v>#NAME?</v>
      </c>
      <c r="H39" s="99" t="e">
        <f>F40/G40-1</f>
        <v>#NAME?</v>
      </c>
      <c r="I39" s="99" t="e">
        <f>+H43</f>
        <v>#NAME?</v>
      </c>
      <c r="J39" s="99" t="e">
        <f>+IF(I39&gt;0,I39,-I39)</f>
        <v>#NAME?</v>
      </c>
    </row>
    <row ht="13.8" outlineLevel="0" r="40">
      <c r="B40" s="1" t="s">
        <v>485</v>
      </c>
      <c r="C40" s="95" t="s">
        <v>485</v>
      </c>
      <c r="D40" s="1">
        <f>MATCH(C40,'Previdência_(série)'!$A$1:$AP$1,0)</f>
        <v>11</v>
      </c>
      <c r="F40" s="100" t="e">
        <f>VLOOKUP(F$34,'Previdência_(série)'!$A$1:$AF$166,'Previdência_-_Gráficos'!$D40,0)/1000000</f>
        <v>#NAME?</v>
      </c>
      <c r="G40" s="100" t="e">
        <f>VLOOKUP(G$34,'Previdência_(série)'!$A$1:$AF$166,'Previdência_-_Gráficos'!$D40,0)/1000000</f>
        <v>#NAME?</v>
      </c>
      <c r="H40" s="99" t="e">
        <f>F41/G41-1</f>
        <v>#NAME?</v>
      </c>
      <c r="I40" s="99" t="e">
        <f>+H42</f>
        <v>#NAME?</v>
      </c>
      <c r="J40" s="99" t="e">
        <f>+IF(I40&gt;0,I40,-I40)</f>
        <v>#NAME?</v>
      </c>
    </row>
    <row ht="13.8" outlineLevel="0" r="41">
      <c r="B41" s="1" t="s">
        <v>486</v>
      </c>
      <c r="F41" s="100" t="e">
        <f>+F40-F39</f>
        <v>#NAME?</v>
      </c>
      <c r="G41" s="100" t="e">
        <f>+G40-G39</f>
        <v>#NAME?</v>
      </c>
    </row>
    <row ht="13.8" outlineLevel="0" r="42">
      <c r="F42" s="100"/>
      <c r="G42" s="100"/>
      <c r="H42" s="99" t="e">
        <f>F43/G43-1</f>
        <v>#NAME?</v>
      </c>
      <c r="I42" s="99" t="e">
        <f>+H40</f>
        <v>#NAME?</v>
      </c>
      <c r="J42" s="99" t="e">
        <f>+IF(I42&gt;0,I42,-I42)</f>
        <v>#NAME?</v>
      </c>
    </row>
    <row ht="13.8" outlineLevel="0" r="43">
      <c r="B43" s="1" t="s">
        <v>487</v>
      </c>
      <c r="C43" s="95" t="s">
        <v>488</v>
      </c>
      <c r="D43" s="1">
        <f>MATCH(C43,'Previdência_(série)'!$A$1:$AP$1,0)</f>
        <v>14</v>
      </c>
      <c r="F43" s="100" t="e">
        <f>VLOOKUP(F$34,'Previdência_(série)'!$A$1:$AF$166,'Previdência_-_Gráficos'!$D43,0)/1000000</f>
        <v>#NAME?</v>
      </c>
      <c r="G43" s="100" t="e">
        <f>VLOOKUP(G$34,'Previdência_(série)'!$A$1:$AF$166,'Previdência_-_Gráficos'!$D43,0)/1000000</f>
        <v>#NAME?</v>
      </c>
      <c r="H43" s="99" t="e">
        <f>F44/G44-1</f>
        <v>#NAME?</v>
      </c>
      <c r="I43" s="99" t="e">
        <f>+H39</f>
        <v>#NAME?</v>
      </c>
      <c r="J43" s="99" t="e">
        <f>+IF(I43&gt;0,I43,-I43)</f>
        <v>#NAME?</v>
      </c>
    </row>
    <row ht="13.8" outlineLevel="0" r="44">
      <c r="B44" s="1" t="s">
        <v>489</v>
      </c>
      <c r="C44" s="95" t="s">
        <v>490</v>
      </c>
      <c r="D44" s="1">
        <f>MATCH(C44,'Previdência_(série)'!$A$1:$AP$1,0)</f>
        <v>17</v>
      </c>
      <c r="F44" s="100" t="e">
        <f>VLOOKUP(F$34,'Previdência_(série)'!$A$1:$AF$166,'Previdência_-_Gráficos'!$D44,0)/1000000</f>
        <v>#NAME?</v>
      </c>
      <c r="G44" s="100" t="e">
        <f>VLOOKUP(G$34,'Previdência_(série)'!$A$1:$AF$166,'Previdência_-_Gráficos'!$D44,0)/1000000</f>
        <v>#NAME?</v>
      </c>
      <c r="H44" s="99" t="e">
        <f>F45/G45-1</f>
        <v>#NAME?</v>
      </c>
      <c r="I44" s="99" t="e">
        <f>+H38</f>
        <v>#NAME?</v>
      </c>
      <c r="J44" s="99" t="e">
        <f>+IF(I44&gt;0,I44,-I44)</f>
        <v>#NAME?</v>
      </c>
    </row>
    <row ht="13.8" outlineLevel="0" r="45">
      <c r="B45" s="1" t="s">
        <v>491</v>
      </c>
      <c r="F45" s="100" t="e">
        <f>+F44-F43</f>
        <v>#NAME?</v>
      </c>
      <c r="G45" s="100" t="e">
        <f>+G44-G43</f>
        <v>#NAME?</v>
      </c>
    </row>
    <row ht="13.8" outlineLevel="0" r="46">
      <c r="F46" s="100"/>
      <c r="G46" s="100"/>
      <c r="H46" s="99" t="e">
        <f>F47/G47-1</f>
        <v>#NAME?</v>
      </c>
      <c r="I46" s="99" t="e">
        <f>+H36</f>
        <v>#NAME?</v>
      </c>
      <c r="J46" s="99" t="e">
        <f>+IF(I46&gt;0,I46,-I46)</f>
        <v>#NAME?</v>
      </c>
    </row>
    <row ht="13.8" outlineLevel="0" r="47">
      <c r="B47" s="1" t="s">
        <v>492</v>
      </c>
      <c r="C47" s="95" t="s">
        <v>492</v>
      </c>
      <c r="D47" s="1">
        <f>MATCH(C47,'Previdência_(série)'!$A$1:$AP$1,0)</f>
        <v>20</v>
      </c>
      <c r="F47" s="100" t="e">
        <f>VLOOKUP(F$34,'Previdência_(série)'!$A$1:$AF$166,'Previdência_-_Gráficos'!$D47,0)/1000000</f>
        <v>#NAME?</v>
      </c>
      <c r="G47" s="100" t="e">
        <f>VLOOKUP(G$34,'Previdência_(série)'!$A$1:$AF$166,'Previdência_-_Gráficos'!$D47,0)/1000000</f>
        <v>#NAME?</v>
      </c>
      <c r="H47" s="99" t="e">
        <f>F48/G48-1</f>
        <v>#NAME?</v>
      </c>
      <c r="I47" s="99" t="e">
        <f>+H35</f>
        <v>#NAME?</v>
      </c>
      <c r="J47" s="99" t="e">
        <f>+IF(I47&gt;0,I47,-I47)</f>
        <v>#NAME?</v>
      </c>
    </row>
    <row ht="13.8" outlineLevel="0" r="48">
      <c r="B48" s="1" t="s">
        <v>493</v>
      </c>
      <c r="C48" s="95" t="s">
        <v>493</v>
      </c>
      <c r="D48" s="1">
        <f>MATCH(C48,'Previdência_(série)'!$A$1:$AP$1,0)</f>
        <v>23</v>
      </c>
      <c r="F48" s="100" t="e">
        <f>VLOOKUP(F$34,'Previdência_(série)'!$A$1:$AF$166,'Previdência_-_Gráficos'!$D48,0)/1000000</f>
        <v>#NAME?</v>
      </c>
      <c r="G48" s="100" t="e">
        <f>VLOOKUP(G$34,'Previdência_(série)'!$A$1:$AF$166,'Previdência_-_Gráficos'!$D48,0)/1000000</f>
        <v>#NAME?</v>
      </c>
      <c r="H48" s="99" t="e">
        <f>F49/G49-1</f>
        <v>#NAME?</v>
      </c>
      <c r="I48" s="99" t="e">
        <f>+H34</f>
        <v>#NAME?</v>
      </c>
      <c r="J48" s="99" t="e">
        <f>+IF(I48&gt;0,I48,-I48)</f>
        <v>#NAME?</v>
      </c>
    </row>
    <row ht="13.8" outlineLevel="0" r="49">
      <c r="B49" s="1" t="s">
        <v>494</v>
      </c>
      <c r="F49" s="100" t="e">
        <f>+F48-F47</f>
        <v>#NAME?</v>
      </c>
      <c r="G49" s="100" t="e">
        <f>+G48-G47</f>
        <v>#NAME?</v>
      </c>
    </row>
    <row ht="13.8" outlineLevel="0" r="54" s="1" customFormat="1">
      <c r="E54" s="110" t="s">
        <v>497</v>
      </c>
      <c r="F54" s="110"/>
    </row>
    <row ht="13.8" outlineLevel="0" r="55">
      <c r="B55" s="2" t="s">
        <v>474</v>
      </c>
      <c r="C55" s="95" t="s">
        <v>475</v>
      </c>
      <c r="D55" s="2" t="s">
        <v>476</v>
      </c>
      <c r="E55" s="103" t="s">
        <v>477</v>
      </c>
      <c r="F55" s="111" t="s">
        <v>478</v>
      </c>
      <c r="H55" s="1" t="s">
        <v>479</v>
      </c>
    </row>
    <row ht="13.8" outlineLevel="0" r="56">
      <c r="E56" s="112" t="e">
        <f>TEXT(EDATE(B2,-11),"MMM-AAAA")&amp;" a "&amp;TEXT(B2,"MMM-AAAA")</f>
        <v>#NAME?</v>
      </c>
      <c r="F56" s="113" t="e">
        <f>TEXT(EDATE(B3,-11),"MMM-AAAA")&amp;" a "&amp;TEXT(B3,"MMM-AAAA")</f>
        <v>#NAME?</v>
      </c>
      <c r="G56" s="99" t="e">
        <f>E57/F57-1</f>
        <v>#NAME?</v>
      </c>
      <c r="H56" s="99" t="e">
        <f>+G70</f>
        <v>#NAME?</v>
      </c>
      <c r="I56" s="99" t="e">
        <f>+IF(H56&gt;0,H56,-H56)</f>
        <v>#NAME?</v>
      </c>
    </row>
    <row ht="13.8" outlineLevel="0" r="57">
      <c r="B57" s="1" t="s">
        <v>480</v>
      </c>
      <c r="C57" s="95" t="s">
        <v>498</v>
      </c>
      <c r="D57" s="1">
        <f>MATCH(C57,'Previdência_(série)'!$A$1:$AP$1,0)</f>
        <v>4</v>
      </c>
      <c r="E57" s="100" t="e">
        <f>VLOOKUP($B$2,'Previdência_(série)'!$A$1:$AF$166,'Previdência_-_Gráficos'!$D57,0)/1000000</f>
        <v>#NAME?</v>
      </c>
      <c r="F57" s="100" t="e">
        <f>VLOOKUP($B$3,'Previdência_(série)'!$A$1:$AF$166,'Previdência_-_Gráficos'!$D57,0)/1000000</f>
        <v>#NAME?</v>
      </c>
      <c r="G57" s="99" t="e">
        <f>E58/F58-1</f>
        <v>#NAME?</v>
      </c>
      <c r="H57" s="99" t="e">
        <f>+G69</f>
        <v>#NAME?</v>
      </c>
      <c r="I57" s="99" t="e">
        <f>+IF(H57&gt;0,H57,-H57)</f>
        <v>#NAME?</v>
      </c>
    </row>
    <row ht="13.8" outlineLevel="0" r="58">
      <c r="B58" s="1" t="s">
        <v>481</v>
      </c>
      <c r="C58" s="95" t="s">
        <v>499</v>
      </c>
      <c r="D58" s="1">
        <f>MATCH(C58,'Previdência_(série)'!$A$1:$AP$1,0)</f>
        <v>7</v>
      </c>
      <c r="E58" s="100" t="e">
        <f>VLOOKUP($B$2,'Previdência_(série)'!$A$1:$AF$166,'Previdência_-_Gráficos'!$D58,0)/1000000</f>
        <v>#NAME?</v>
      </c>
      <c r="F58" s="100" t="e">
        <f>VLOOKUP($B$3,'Previdência_(série)'!$A$1:$AF$166,'Previdência_-_Gráficos'!$D58,0)/1000000</f>
        <v>#NAME?</v>
      </c>
      <c r="G58" s="99" t="e">
        <f>E59/F59-1</f>
        <v>#NAME?</v>
      </c>
      <c r="H58" s="99" t="e">
        <f>+G68</f>
        <v>#NAME?</v>
      </c>
      <c r="I58" s="99" t="e">
        <f>+IF(H58&gt;0,H58,-H58)</f>
        <v>#NAME?</v>
      </c>
      <c r="S58" s="1" t="s">
        <v>500</v>
      </c>
    </row>
    <row ht="13.8" outlineLevel="0" r="59">
      <c r="B59" s="1" t="s">
        <v>482</v>
      </c>
      <c r="E59" s="100" t="e">
        <f>E58-E57</f>
        <v>#NAME?</v>
      </c>
      <c r="F59" s="100" t="e">
        <f>F58-F57</f>
        <v>#NAME?</v>
      </c>
    </row>
    <row ht="13.8" outlineLevel="0" r="60">
      <c r="E60" s="99"/>
      <c r="G60" s="99" t="e">
        <f>E61/F61-1</f>
        <v>#NAME?</v>
      </c>
      <c r="H60" s="99" t="e">
        <f>+G66</f>
        <v>#NAME?</v>
      </c>
      <c r="I60" s="99" t="e">
        <f>+IF(H60&gt;0,H60,-H60)</f>
        <v>#NAME?</v>
      </c>
    </row>
    <row ht="13.8" outlineLevel="0" r="61">
      <c r="B61" s="1" t="s">
        <v>484</v>
      </c>
      <c r="C61" s="95" t="s">
        <v>501</v>
      </c>
      <c r="D61" s="1">
        <f>MATCH(C61,'Previdência_(série)'!$A$1:$AP$1,0)</f>
        <v>10</v>
      </c>
      <c r="E61" s="100" t="e">
        <f>VLOOKUP($B$2,'Previdência_(série)'!$A$1:$AF$166,'Previdência_-_Gráficos'!$D61,0)/1000000</f>
        <v>#NAME?</v>
      </c>
      <c r="F61" s="100" t="e">
        <f>VLOOKUP($B$3,'Previdência_(série)'!$A$1:$AF$166,'Previdência_-_Gráficos'!$D61,0)/1000000</f>
        <v>#NAME?</v>
      </c>
      <c r="G61" s="99" t="e">
        <f>E62/F62-1</f>
        <v>#NAME?</v>
      </c>
      <c r="H61" s="99" t="e">
        <f>+G65</f>
        <v>#NAME?</v>
      </c>
      <c r="I61" s="99" t="e">
        <f>+IF(H61&gt;0,H61,-H61)</f>
        <v>#NAME?</v>
      </c>
    </row>
    <row ht="13.8" outlineLevel="0" r="62">
      <c r="B62" s="1" t="s">
        <v>485</v>
      </c>
      <c r="C62" s="95" t="s">
        <v>502</v>
      </c>
      <c r="D62" s="1">
        <f>MATCH(C62,'Previdência_(série)'!$A$1:$AP$1,0)</f>
        <v>13</v>
      </c>
      <c r="E62" s="100" t="e">
        <f>VLOOKUP($B$2,'Previdência_(série)'!$A$1:$AF$166,'Previdência_-_Gráficos'!$D62,0)/1000000</f>
        <v>#NAME?</v>
      </c>
      <c r="F62" s="100" t="e">
        <f>VLOOKUP($B$3,'Previdência_(série)'!$A$1:$AF$166,'Previdência_-_Gráficos'!$D62,0)/1000000</f>
        <v>#NAME?</v>
      </c>
      <c r="G62" s="99" t="e">
        <f>E63/F63-1</f>
        <v>#NAME?</v>
      </c>
      <c r="H62" s="99" t="e">
        <f>+G64</f>
        <v>#NAME?</v>
      </c>
      <c r="I62" s="99" t="e">
        <f>+IF(H62&gt;0,H62,-H62)</f>
        <v>#NAME?</v>
      </c>
    </row>
    <row ht="13.8" outlineLevel="0" r="63">
      <c r="B63" s="1" t="s">
        <v>486</v>
      </c>
      <c r="E63" s="100" t="e">
        <f>(E62-E61)</f>
        <v>#NAME?</v>
      </c>
      <c r="F63" s="100" t="e">
        <f>(F62-F61)</f>
        <v>#NAME?</v>
      </c>
    </row>
    <row ht="13.8" outlineLevel="0" r="64">
      <c r="E64" s="99"/>
      <c r="G64" s="99" t="e">
        <f>E65/F65-1</f>
        <v>#NAME?</v>
      </c>
      <c r="H64" s="99" t="e">
        <f>+G62</f>
        <v>#NAME?</v>
      </c>
      <c r="I64" s="99" t="e">
        <f>+IF(H64&gt;0,H64,-H64)</f>
        <v>#NAME?</v>
      </c>
    </row>
    <row ht="13.8" outlineLevel="0" r="65">
      <c r="B65" s="1" t="s">
        <v>487</v>
      </c>
      <c r="C65" s="95" t="s">
        <v>503</v>
      </c>
      <c r="D65" s="1">
        <f>MATCH(C65,'Previdência_(série)'!$A$1:$AP$1,0)</f>
        <v>16</v>
      </c>
      <c r="E65" s="100" t="e">
        <f>VLOOKUP($B$2,'Previdência_(série)'!$A$1:$AF$166,'Previdência_-_Gráficos'!$D65,0)/1000000</f>
        <v>#NAME?</v>
      </c>
      <c r="F65" s="100" t="e">
        <f>VLOOKUP($B$3,'Previdência_(série)'!$A$1:$AF$166,'Previdência_-_Gráficos'!$D65,0)/1000000</f>
        <v>#NAME?</v>
      </c>
      <c r="G65" s="99" t="e">
        <f>E66/F66-1</f>
        <v>#NAME?</v>
      </c>
      <c r="H65" s="99" t="e">
        <f>+G61</f>
        <v>#NAME?</v>
      </c>
      <c r="I65" s="99" t="e">
        <f>+IF(H65&gt;0,H65,-H65)</f>
        <v>#NAME?</v>
      </c>
    </row>
    <row ht="13.8" outlineLevel="0" r="66">
      <c r="B66" s="1" t="s">
        <v>489</v>
      </c>
      <c r="C66" s="95" t="s">
        <v>504</v>
      </c>
      <c r="D66" s="1">
        <f>MATCH(C66,'Previdência_(série)'!$A$1:$AP$1,0)</f>
        <v>19</v>
      </c>
      <c r="E66" s="100" t="e">
        <f>VLOOKUP($B$2,'Previdência_(série)'!$A$1:$AF$166,'Previdência_-_Gráficos'!$D66,0)/1000000</f>
        <v>#NAME?</v>
      </c>
      <c r="F66" s="100" t="e">
        <f>VLOOKUP($B$3,'Previdência_(série)'!$A$1:$AF$166,'Previdência_-_Gráficos'!$D66,0)/1000000</f>
        <v>#NAME?</v>
      </c>
      <c r="G66" s="99" t="e">
        <f>E67/F67-1</f>
        <v>#NAME?</v>
      </c>
      <c r="H66" s="99" t="e">
        <f>+G60</f>
        <v>#NAME?</v>
      </c>
      <c r="I66" s="99" t="e">
        <f>+IF(H66&gt;0,H66,-H66)</f>
        <v>#NAME?</v>
      </c>
    </row>
    <row ht="13.8" outlineLevel="0" r="67">
      <c r="B67" s="1" t="s">
        <v>491</v>
      </c>
      <c r="E67" s="100" t="e">
        <f>(E66-E65)</f>
        <v>#NAME?</v>
      </c>
      <c r="F67" s="100" t="e">
        <f>(F66-F65)</f>
        <v>#NAME?</v>
      </c>
    </row>
    <row ht="13.8" outlineLevel="0" r="68">
      <c r="G68" s="99" t="e">
        <f>E69/F69-1</f>
        <v>#NAME?</v>
      </c>
      <c r="H68" s="99" t="e">
        <f>+G58</f>
        <v>#NAME?</v>
      </c>
      <c r="I68" s="99" t="e">
        <f>+IF(H68&gt;0,H68,-H68)</f>
        <v>#NAME?</v>
      </c>
    </row>
    <row ht="13.8" outlineLevel="0" r="69">
      <c r="B69" s="1" t="s">
        <v>492</v>
      </c>
      <c r="C69" s="95" t="s">
        <v>505</v>
      </c>
      <c r="D69" s="1">
        <f>MATCH(C69,'Previdência_(série)'!$A$1:$AP$1,0)</f>
        <v>22</v>
      </c>
      <c r="E69" s="100" t="e">
        <f>VLOOKUP($B$2,'Previdência_(série)'!$A$1:$AF$166,'Previdência_-_Gráficos'!$D69,0)/1000000</f>
        <v>#NAME?</v>
      </c>
      <c r="F69" s="100" t="e">
        <f>VLOOKUP($B$3,'Previdência_(série)'!$A$1:$AF$166,'Previdência_-_Gráficos'!$D69,0)/1000000</f>
        <v>#NAME?</v>
      </c>
      <c r="G69" s="99" t="e">
        <f>E70/F70-1</f>
        <v>#NAME?</v>
      </c>
      <c r="H69" s="99" t="e">
        <f>+G57</f>
        <v>#NAME?</v>
      </c>
      <c r="I69" s="99" t="e">
        <f>+IF(H69&gt;0,H69,-H69)</f>
        <v>#NAME?</v>
      </c>
    </row>
    <row ht="13.8" outlineLevel="0" r="70">
      <c r="B70" s="1" t="s">
        <v>493</v>
      </c>
      <c r="C70" s="95" t="s">
        <v>506</v>
      </c>
      <c r="D70" s="1">
        <f>MATCH(C70,'Previdência_(série)'!$A$1:$AP$1,0)</f>
        <v>25</v>
      </c>
      <c r="E70" s="100" t="e">
        <f>VLOOKUP($B$2,'Previdência_(série)'!$A$1:$AF$166,'Previdência_-_Gráficos'!$D70,0)/1000000</f>
        <v>#NAME?</v>
      </c>
      <c r="F70" s="100" t="e">
        <f>VLOOKUP($B$3,'Previdência_(série)'!$A$1:$AF$166,'Previdência_-_Gráficos'!$D70,0)/1000000</f>
        <v>#NAME?</v>
      </c>
      <c r="G70" s="99" t="e">
        <f>E71/F71-1</f>
        <v>#NAME?</v>
      </c>
      <c r="H70" s="99" t="e">
        <f>+G56</f>
        <v>#NAME?</v>
      </c>
      <c r="I70" s="99" t="e">
        <f>+IF(H70&gt;0,H70,-H70)</f>
        <v>#NAME?</v>
      </c>
    </row>
    <row ht="13.8" outlineLevel="0" r="71">
      <c r="B71" s="1" t="s">
        <v>494</v>
      </c>
      <c r="E71" s="100" t="e">
        <f>(E70-E69)</f>
        <v>#NAME?</v>
      </c>
      <c r="F71" s="100" t="e">
        <f>(F70-F69)</f>
        <v>#NAME?</v>
      </c>
    </row>
    <row ht="13.5" customHeight="1" outlineLevel="0" r="73">
      <c r="A73" s="114"/>
      <c r="B73" s="114"/>
      <c r="C73" s="115"/>
      <c r="D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</row>
    <row ht="13.5" customHeight="1" outlineLevel="0" r="74">
      <c r="A74" s="114"/>
      <c r="B74" s="114"/>
      <c r="C74" s="115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</row>
    <row ht="13.5" customHeight="1" outlineLevel="0" r="75">
      <c r="A75" s="114"/>
      <c r="B75" s="114"/>
      <c r="C75" s="115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</row>
    <row ht="13.5" customHeight="1" outlineLevel="0" r="76">
      <c r="A76" s="114"/>
      <c r="B76" s="114"/>
      <c r="C76" s="115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</row>
    <row ht="13.5" customHeight="1" outlineLevel="0" r="77">
      <c r="A77" s="114"/>
      <c r="B77" s="114"/>
      <c r="C77" s="115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</row>
    <row ht="13.5" customHeight="1" outlineLevel="0" r="78">
      <c r="A78" s="114"/>
      <c r="B78" s="114"/>
      <c r="C78" s="115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</row>
    <row ht="13.5" customHeight="1" outlineLevel="0" r="79">
      <c r="A79" s="114"/>
      <c r="B79" s="114"/>
      <c r="C79" s="115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</row>
    <row ht="13.5" customHeight="1" outlineLevel="0" r="80">
      <c r="A80" s="114"/>
      <c r="B80" s="114"/>
      <c r="C80" s="115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</row>
    <row ht="13.5" customHeight="1" outlineLevel="0" r="81">
      <c r="A81" s="114"/>
      <c r="B81" s="114"/>
      <c r="C81" s="115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</row>
    <row ht="13.5" customHeight="1" outlineLevel="0" r="82">
      <c r="A82" s="114"/>
      <c r="B82" s="114"/>
      <c r="C82" s="115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</row>
    <row ht="13.5" customHeight="1" outlineLevel="0" r="83">
      <c r="A83" s="114"/>
      <c r="B83" s="114"/>
      <c r="C83" s="115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</row>
    <row ht="13.5" customHeight="1" outlineLevel="0" r="84">
      <c r="A84" s="114"/>
      <c r="B84" s="114"/>
      <c r="C84" s="115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</row>
    <row ht="13.5" customHeight="1" outlineLevel="0" r="85">
      <c r="A85" s="114"/>
      <c r="B85" s="114"/>
      <c r="C85" s="115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</row>
    <row ht="13.5" customHeight="1" outlineLevel="0" r="86">
      <c r="A86" s="114"/>
      <c r="B86" s="114"/>
      <c r="C86" s="115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</row>
    <row ht="13.5" customHeight="1" outlineLevel="0" r="87">
      <c r="A87" s="114"/>
      <c r="B87" s="114"/>
      <c r="C87" s="115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</row>
    <row ht="13.5" customHeight="1" outlineLevel="0" r="88">
      <c r="A88" s="114"/>
      <c r="B88" s="114"/>
      <c r="C88" s="115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</row>
    <row ht="13.5" customHeight="1" outlineLevel="0" r="89">
      <c r="A89" s="114"/>
      <c r="B89" s="114"/>
      <c r="C89" s="115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</row>
    <row ht="13.5" customHeight="1" hidden="1" outlineLevel="0" r="90">
      <c r="A90" s="114"/>
      <c r="B90" s="114"/>
      <c r="C90" s="115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</row>
    <row ht="13.5" customHeight="1" hidden="1" outlineLevel="0" r="91">
      <c r="A91" s="114"/>
      <c r="B91" s="114"/>
      <c r="C91" s="115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</row>
    <row ht="13.5" customHeight="1" hidden="1" outlineLevel="0" r="92">
      <c r="A92" s="114"/>
      <c r="B92" s="114"/>
      <c r="C92" s="115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</row>
    <row ht="13.5" customHeight="1" hidden="1" outlineLevel="0" r="93">
      <c r="A93" s="114"/>
      <c r="B93" s="114"/>
      <c r="C93" s="115"/>
      <c r="D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</row>
    <row ht="13.5" customHeight="1" hidden="1" outlineLevel="0" r="94">
      <c r="A94" s="114"/>
      <c r="B94" s="114"/>
      <c r="C94" s="115"/>
      <c r="D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</row>
    <row ht="13.5" customHeight="1" hidden="1" outlineLevel="0" r="95">
      <c r="A95" s="114"/>
      <c r="B95" s="114"/>
      <c r="C95" s="115"/>
      <c r="D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</row>
    <row ht="13.5" customHeight="1" hidden="1" outlineLevel="0" r="96">
      <c r="A96" s="114"/>
      <c r="B96" s="114"/>
      <c r="C96" s="115"/>
      <c r="D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</row>
    <row ht="13.5" customHeight="1" hidden="1" outlineLevel="0" r="97">
      <c r="A97" s="114"/>
      <c r="B97" s="114"/>
      <c r="C97" s="115"/>
      <c r="D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</row>
    <row ht="13.8" hidden="1" outlineLevel="0" r="98" s="116" customFormat="1">
      <c r="C98" s="117"/>
    </row>
    <row ht="13.8" hidden="1" outlineLevel="0" r="99" s="116" customFormat="1">
      <c r="C99" s="117"/>
    </row>
    <row ht="22.05" hidden="1" outlineLevel="0" r="100">
      <c r="A100" s="118" t="s">
        <v>471</v>
      </c>
      <c r="B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C100" s="119"/>
      <c r="AD100" s="119"/>
      <c r="AE100" s="120"/>
    </row>
    <row ht="28.5" customHeight="1" hidden="1" outlineLevel="0" r="101">
      <c r="A101" s="121" t="s">
        <v>507</v>
      </c>
      <c r="AE101" s="122"/>
    </row>
    <row ht="13.5" customHeight="1" hidden="1" outlineLevel="0" r="102">
      <c r="A102" s="123"/>
      <c r="AE102" s="122"/>
    </row>
    <row ht="13.5" customHeight="1" hidden="1" outlineLevel="0" r="103">
      <c r="A103" s="124" t="s">
        <v>508</v>
      </c>
      <c r="AE103" s="122"/>
    </row>
    <row ht="13.5" customHeight="1" hidden="1" outlineLevel="0" r="104">
      <c r="A104" s="124" t="s">
        <v>509</v>
      </c>
      <c r="AE104" s="122"/>
    </row>
    <row ht="13.5" customHeight="1" hidden="1" outlineLevel="0" r="105">
      <c r="A105" s="123"/>
      <c r="AE105" s="122"/>
    </row>
    <row ht="13.5" customHeight="1" hidden="1" outlineLevel="0" r="106">
      <c r="A106" s="125" t="s">
        <v>510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AE106" s="122"/>
    </row>
    <row ht="13.5" customHeight="1" hidden="1" outlineLevel="0" r="107">
      <c r="A107" s="126" t="s">
        <v>511</v>
      </c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AE107" s="122"/>
    </row>
    <row ht="13.5" customHeight="1" hidden="1" outlineLevel="0" r="108">
      <c r="A108" s="123"/>
      <c r="AE108" s="122"/>
    </row>
    <row ht="13.5" customHeight="1" hidden="1" outlineLevel="0" r="109">
      <c r="A109" s="127" t="s">
        <v>512</v>
      </c>
      <c r="B109" s="128" t="s">
        <v>513</v>
      </c>
      <c r="C109" s="129"/>
      <c r="D109" s="128"/>
      <c r="E109" s="128" t="s">
        <v>513</v>
      </c>
      <c r="F109" s="128" t="s">
        <v>513</v>
      </c>
      <c r="G109" s="128" t="s">
        <v>513</v>
      </c>
      <c r="H109" s="128" t="s">
        <v>513</v>
      </c>
      <c r="I109" s="128" t="s">
        <v>513</v>
      </c>
      <c r="J109" s="128" t="s">
        <v>513</v>
      </c>
      <c r="K109" s="128" t="s">
        <v>513</v>
      </c>
      <c r="L109" s="128" t="s">
        <v>513</v>
      </c>
      <c r="M109" s="128" t="s">
        <v>513</v>
      </c>
      <c r="N109" s="128" t="s">
        <v>513</v>
      </c>
      <c r="O109" s="130" t="s">
        <v>513</v>
      </c>
      <c r="P109" s="131" t="s">
        <v>514</v>
      </c>
      <c r="Q109" s="128" t="s">
        <v>513</v>
      </c>
      <c r="R109" s="128" t="s">
        <v>513</v>
      </c>
      <c r="S109" s="128" t="s">
        <v>513</v>
      </c>
      <c r="T109" s="128" t="s">
        <v>513</v>
      </c>
      <c r="U109" s="128" t="s">
        <v>513</v>
      </c>
      <c r="V109" s="128" t="s">
        <v>513</v>
      </c>
      <c r="W109" s="128" t="s">
        <v>513</v>
      </c>
      <c r="X109" s="128" t="s">
        <v>513</v>
      </c>
      <c r="Y109" s="128" t="s">
        <v>513</v>
      </c>
      <c r="Z109" s="128" t="s">
        <v>513</v>
      </c>
      <c r="AA109" s="128" t="s">
        <v>513</v>
      </c>
      <c r="AB109" s="128" t="s">
        <v>513</v>
      </c>
      <c r="AC109" s="131" t="s">
        <v>514</v>
      </c>
      <c r="AD109" s="132"/>
      <c r="AE109" s="133" t="s">
        <v>513</v>
      </c>
    </row>
    <row ht="13.5" customHeight="1" hidden="1" outlineLevel="0" r="110">
      <c r="A110" s="127"/>
      <c r="B110" s="134" t="s">
        <v>515</v>
      </c>
      <c r="C110" s="135"/>
      <c r="D110" s="134"/>
      <c r="E110" s="134" t="s">
        <v>516</v>
      </c>
      <c r="F110" s="134" t="s">
        <v>517</v>
      </c>
      <c r="G110" s="134" t="s">
        <v>518</v>
      </c>
      <c r="H110" s="134" t="s">
        <v>519</v>
      </c>
      <c r="I110" s="134" t="s">
        <v>520</v>
      </c>
      <c r="J110" s="134" t="s">
        <v>521</v>
      </c>
      <c r="K110" s="134" t="s">
        <v>522</v>
      </c>
      <c r="L110" s="134" t="s">
        <v>523</v>
      </c>
      <c r="M110" s="134" t="s">
        <v>524</v>
      </c>
      <c r="N110" s="134" t="s">
        <v>525</v>
      </c>
      <c r="O110" s="136" t="s">
        <v>463</v>
      </c>
      <c r="P110" s="137" t="s">
        <v>463</v>
      </c>
      <c r="Q110" s="134" t="s">
        <v>526</v>
      </c>
      <c r="R110" s="134" t="s">
        <v>527</v>
      </c>
      <c r="S110" s="134" t="s">
        <v>528</v>
      </c>
      <c r="T110" s="134" t="s">
        <v>529</v>
      </c>
      <c r="U110" s="134" t="s">
        <v>530</v>
      </c>
      <c r="V110" s="134" t="s">
        <v>531</v>
      </c>
      <c r="W110" s="134" t="s">
        <v>532</v>
      </c>
      <c r="X110" s="134" t="s">
        <v>533</v>
      </c>
      <c r="Y110" s="134" t="s">
        <v>534</v>
      </c>
      <c r="Z110" s="134" t="s">
        <v>535</v>
      </c>
      <c r="AA110" s="134" t="s">
        <v>536</v>
      </c>
      <c r="AB110" s="134" t="s">
        <v>464</v>
      </c>
      <c r="AC110" s="138" t="s">
        <v>464</v>
      </c>
      <c r="AD110" s="139"/>
      <c r="AE110" s="133" t="s">
        <v>537</v>
      </c>
    </row>
    <row ht="13.5" customHeight="1" hidden="1" outlineLevel="0" r="111">
      <c r="A111" s="140" t="s">
        <v>538</v>
      </c>
      <c r="B111" s="141">
        <v>21117.88984</v>
      </c>
      <c r="C111" s="142"/>
      <c r="D111" s="141"/>
      <c r="E111" s="141">
        <v>41219.67947</v>
      </c>
      <c r="F111" s="141">
        <v>30854.83153</v>
      </c>
      <c r="G111" s="141">
        <v>30971.80994</v>
      </c>
      <c r="H111" s="141">
        <v>30916.92276</v>
      </c>
      <c r="I111" s="141">
        <v>30851.4249</v>
      </c>
      <c r="J111" s="141">
        <v>30927.85631</v>
      </c>
      <c r="K111" s="141">
        <v>30855.67491</v>
      </c>
      <c r="L111" s="141">
        <v>30932.36651</v>
      </c>
      <c r="M111" s="141">
        <v>30997.94911</v>
      </c>
      <c r="N111" s="141">
        <v>30979.9761300001</v>
      </c>
      <c r="O111" s="143">
        <v>46866.82906</v>
      </c>
      <c r="P111" s="144">
        <f>SUM(B111:O111)</f>
        <v>387493.21047</v>
      </c>
      <c r="Q111" s="141">
        <v>31313.18988</v>
      </c>
      <c r="R111" s="141">
        <v>31169.60326</v>
      </c>
      <c r="S111" s="141">
        <v>29694.8847</v>
      </c>
      <c r="T111" s="141">
        <v>30980.06277</v>
      </c>
      <c r="U111" s="141">
        <v>30961.72652</v>
      </c>
      <c r="V111" s="141">
        <v>14312.12626</v>
      </c>
      <c r="W111" s="141">
        <v>14257.92305</v>
      </c>
      <c r="X111" s="141">
        <v>14359.79999</v>
      </c>
      <c r="Y111" s="141">
        <v>14372.24251</v>
      </c>
      <c r="Z111" s="141">
        <v>14377.07269</v>
      </c>
      <c r="AA111" s="141">
        <v>14365.84021</v>
      </c>
      <c r="AB111" s="141">
        <v>28792.04922</v>
      </c>
      <c r="AC111" s="144">
        <f>SUM(Q111:AB111)</f>
        <v>268956.52106</v>
      </c>
      <c r="AD111" s="145"/>
      <c r="AE111" s="146">
        <v>3.78639</v>
      </c>
    </row>
    <row ht="13.5" customHeight="1" hidden="1" outlineLevel="0" r="112">
      <c r="A112" s="147" t="s">
        <v>539</v>
      </c>
      <c r="B112" s="148">
        <v>404887.49127</v>
      </c>
      <c r="C112" s="149"/>
      <c r="D112" s="148"/>
      <c r="E112" s="148">
        <v>593888.75623</v>
      </c>
      <c r="F112" s="148">
        <v>454948.4739</v>
      </c>
      <c r="G112" s="148">
        <v>413471.06404</v>
      </c>
      <c r="H112" s="148">
        <v>305796.1201</v>
      </c>
      <c r="I112" s="148">
        <v>486764.14205</v>
      </c>
      <c r="J112" s="148">
        <v>370130.35305</v>
      </c>
      <c r="K112" s="148">
        <v>435002.5908</v>
      </c>
      <c r="L112" s="148">
        <v>539164.31825</v>
      </c>
      <c r="M112" s="148">
        <v>316408.08831</v>
      </c>
      <c r="N112" s="148">
        <v>465163.00096</v>
      </c>
      <c r="O112" s="150">
        <f>1332+103327.23042</f>
        <v>104659.23042</v>
      </c>
      <c r="P112" s="151">
        <f>SUM(B112:O112)</f>
        <v>4890283.62938</v>
      </c>
      <c r="Q112" s="148">
        <v>465838.31901</v>
      </c>
      <c r="R112" s="148">
        <v>387660.75235</v>
      </c>
      <c r="S112" s="148">
        <v>451662.25755</v>
      </c>
      <c r="T112" s="148">
        <v>305993.57934</v>
      </c>
      <c r="U112" s="148">
        <v>402122.30917</v>
      </c>
      <c r="V112" s="148">
        <v>473546.59586</v>
      </c>
      <c r="W112" s="148">
        <v>394254.391139999</v>
      </c>
      <c r="X112" s="148">
        <v>406852.5492</v>
      </c>
      <c r="Y112" s="148">
        <v>413991.497</v>
      </c>
      <c r="Z112" s="148">
        <v>423666.0028</v>
      </c>
      <c r="AA112" s="148">
        <v>686960.995070001</v>
      </c>
      <c r="AB112" s="148">
        <f>224827.35527+5481</f>
        <v>230308.35527</v>
      </c>
      <c r="AC112" s="151">
        <f>SUM(Q112:AB112)</f>
        <v>5042857.60376</v>
      </c>
      <c r="AD112" s="145"/>
      <c r="AE112" s="152">
        <v>220804.70544</v>
      </c>
    </row>
    <row ht="13.5" customHeight="1" hidden="1" outlineLevel="0" r="113">
      <c r="A113" s="153" t="s">
        <v>540</v>
      </c>
      <c r="B113" s="154">
        <f>+B111-B112</f>
        <v>-383769.60143</v>
      </c>
      <c r="C113" s="155"/>
      <c r="D113" s="154"/>
      <c r="E113" s="154">
        <f>+E111-E112</f>
        <v>-552669.07676</v>
      </c>
      <c r="F113" s="154">
        <f>+F111-F112</f>
        <v>-424093.64237</v>
      </c>
      <c r="G113" s="154">
        <f>+G111-G112</f>
        <v>-382499.2541</v>
      </c>
      <c r="H113" s="154">
        <f>+H111-H112</f>
        <v>-274879.19734</v>
      </c>
      <c r="I113" s="154">
        <f>+I111-I112</f>
        <v>-455912.71715</v>
      </c>
      <c r="J113" s="154">
        <f>+J111-J112</f>
        <v>-339202.49674</v>
      </c>
      <c r="K113" s="154">
        <f>+K111-K112</f>
        <v>-404146.91589</v>
      </c>
      <c r="L113" s="154">
        <f>+L111-L112</f>
        <v>-508231.95174</v>
      </c>
      <c r="M113" s="154">
        <f>+M111-M112</f>
        <v>-285410.1392</v>
      </c>
      <c r="N113" s="154">
        <f>+N111-N112</f>
        <v>-434183.02483</v>
      </c>
      <c r="O113" s="156">
        <f>+O111-O112</f>
        <v>-57792.40136</v>
      </c>
      <c r="P113" s="157">
        <f>+P111-P112</f>
        <v>-4502790.41891</v>
      </c>
      <c r="Q113" s="154">
        <f>+Q111-Q112</f>
        <v>-434525.12913</v>
      </c>
      <c r="R113" s="154">
        <f>+R111-R112</f>
        <v>-356491.14909</v>
      </c>
      <c r="S113" s="154">
        <f>+S111-S112</f>
        <v>-421967.37285</v>
      </c>
      <c r="T113" s="154">
        <f>+T111-T112</f>
        <v>-275013.51657</v>
      </c>
      <c r="U113" s="154">
        <f>+U111-U112</f>
        <v>-371160.58265</v>
      </c>
      <c r="V113" s="154">
        <f>+V111-V112</f>
        <v>-459234.4696</v>
      </c>
      <c r="W113" s="154">
        <f>+W111-W112</f>
        <v>-379996.468089999</v>
      </c>
      <c r="X113" s="154">
        <f>+X111-X112</f>
        <v>-392492.74921</v>
      </c>
      <c r="Y113" s="154">
        <f>+Y111-Y112</f>
        <v>-399619.25449</v>
      </c>
      <c r="Z113" s="154">
        <f>+Z111-Z112</f>
        <v>-409288.93011</v>
      </c>
      <c r="AA113" s="154">
        <f>+AA111-AA112</f>
        <v>-672595.154860001</v>
      </c>
      <c r="AB113" s="154">
        <f>+AB111-AB112</f>
        <v>-201516.30605</v>
      </c>
      <c r="AC113" s="157">
        <f>+AC111-AC112</f>
        <v>-4773901.0827</v>
      </c>
      <c r="AD113" s="158"/>
      <c r="AE113" s="159">
        <f>+AE111-AE112</f>
        <v>-220800.91905</v>
      </c>
    </row>
    <row ht="13.5" customHeight="1" hidden="1" outlineLevel="0" r="114">
      <c r="A114" s="123"/>
      <c r="AE114" s="122"/>
    </row>
    <row ht="13.5" customHeight="1" hidden="1" outlineLevel="0" r="115">
      <c r="A115" s="123"/>
      <c r="AE115" s="122"/>
    </row>
    <row ht="28.5" customHeight="1" hidden="1" outlineLevel="0" r="116">
      <c r="A116" s="121" t="s">
        <v>541</v>
      </c>
      <c r="AE116" s="122"/>
    </row>
    <row ht="13.5" customHeight="1" hidden="1" outlineLevel="0" r="117">
      <c r="A117" s="123"/>
      <c r="AE117" s="122"/>
    </row>
    <row ht="13.5" customHeight="1" hidden="1" outlineLevel="0" r="118">
      <c r="A118" s="127" t="s">
        <v>512</v>
      </c>
      <c r="B118" s="128" t="s">
        <v>513</v>
      </c>
      <c r="C118" s="129"/>
      <c r="D118" s="128"/>
      <c r="E118" s="128" t="s">
        <v>513</v>
      </c>
      <c r="F118" s="128" t="s">
        <v>513</v>
      </c>
      <c r="G118" s="128" t="s">
        <v>513</v>
      </c>
      <c r="H118" s="128" t="s">
        <v>513</v>
      </c>
      <c r="I118" s="128" t="s">
        <v>513</v>
      </c>
      <c r="J118" s="128" t="s">
        <v>513</v>
      </c>
      <c r="K118" s="128" t="s">
        <v>513</v>
      </c>
      <c r="L118" s="128" t="s">
        <v>513</v>
      </c>
      <c r="M118" s="128" t="s">
        <v>513</v>
      </c>
      <c r="N118" s="128" t="s">
        <v>513</v>
      </c>
      <c r="O118" s="130" t="s">
        <v>513</v>
      </c>
      <c r="P118" s="128" t="s">
        <v>513</v>
      </c>
      <c r="Q118" s="128" t="s">
        <v>513</v>
      </c>
      <c r="R118" s="128" t="s">
        <v>513</v>
      </c>
      <c r="S118" s="128" t="s">
        <v>513</v>
      </c>
      <c r="T118" s="128" t="s">
        <v>513</v>
      </c>
      <c r="U118" s="128" t="s">
        <v>513</v>
      </c>
      <c r="V118" s="128" t="s">
        <v>513</v>
      </c>
      <c r="W118" s="128" t="s">
        <v>513</v>
      </c>
      <c r="X118" s="128" t="s">
        <v>513</v>
      </c>
      <c r="Y118" s="128" t="s">
        <v>513</v>
      </c>
      <c r="Z118" s="128" t="s">
        <v>513</v>
      </c>
      <c r="AA118" s="128" t="s">
        <v>513</v>
      </c>
      <c r="AB118" s="160" t="s">
        <v>513</v>
      </c>
      <c r="AC118" s="161"/>
      <c r="AD118" s="161"/>
      <c r="AE118" s="161"/>
      <c r="AF118" s="161"/>
      <c r="AG118" s="161"/>
      <c r="AI118" s="131" t="s">
        <v>542</v>
      </c>
      <c r="AJ118" s="131" t="s">
        <v>542</v>
      </c>
    </row>
    <row ht="13.5" customHeight="1" hidden="1" outlineLevel="0" r="119">
      <c r="A119" s="127"/>
      <c r="B119" s="134" t="s">
        <v>515</v>
      </c>
      <c r="C119" s="135"/>
      <c r="D119" s="134"/>
      <c r="E119" s="134" t="s">
        <v>516</v>
      </c>
      <c r="F119" s="134" t="s">
        <v>517</v>
      </c>
      <c r="G119" s="134" t="s">
        <v>518</v>
      </c>
      <c r="H119" s="134" t="s">
        <v>519</v>
      </c>
      <c r="I119" s="134" t="s">
        <v>520</v>
      </c>
      <c r="J119" s="134" t="s">
        <v>521</v>
      </c>
      <c r="K119" s="134" t="s">
        <v>522</v>
      </c>
      <c r="L119" s="134" t="s">
        <v>523</v>
      </c>
      <c r="M119" s="134" t="s">
        <v>524</v>
      </c>
      <c r="N119" s="134" t="s">
        <v>525</v>
      </c>
      <c r="O119" s="136" t="s">
        <v>463</v>
      </c>
      <c r="P119" s="134" t="s">
        <v>526</v>
      </c>
      <c r="Q119" s="134" t="s">
        <v>527</v>
      </c>
      <c r="R119" s="134" t="s">
        <v>528</v>
      </c>
      <c r="S119" s="134" t="s">
        <v>529</v>
      </c>
      <c r="T119" s="134" t="s">
        <v>530</v>
      </c>
      <c r="U119" s="134" t="s">
        <v>531</v>
      </c>
      <c r="V119" s="134" t="s">
        <v>532</v>
      </c>
      <c r="W119" s="134" t="s">
        <v>533</v>
      </c>
      <c r="X119" s="134" t="s">
        <v>534</v>
      </c>
      <c r="Y119" s="134" t="s">
        <v>535</v>
      </c>
      <c r="Z119" s="134" t="s">
        <v>536</v>
      </c>
      <c r="AA119" s="134" t="s">
        <v>464</v>
      </c>
      <c r="AB119" s="160" t="s">
        <v>537</v>
      </c>
      <c r="AC119" s="161" t="s">
        <v>543</v>
      </c>
      <c r="AD119" s="161" t="s">
        <v>544</v>
      </c>
      <c r="AE119" s="161" t="s">
        <v>545</v>
      </c>
      <c r="AF119" s="161" t="s">
        <v>546</v>
      </c>
      <c r="AG119" s="162" t="s">
        <v>547</v>
      </c>
      <c r="AI119" s="137" t="s">
        <v>548</v>
      </c>
      <c r="AJ119" s="138" t="s">
        <v>549</v>
      </c>
    </row>
    <row ht="13.5" customHeight="1" hidden="1" outlineLevel="0" r="120">
      <c r="A120" s="140" t="s">
        <v>538</v>
      </c>
      <c r="B120" s="141">
        <v>21117.88984</v>
      </c>
      <c r="C120" s="142"/>
      <c r="D120" s="141"/>
      <c r="E120" s="141">
        <v>41219.67947</v>
      </c>
      <c r="F120" s="141">
        <v>30854.83153</v>
      </c>
      <c r="G120" s="141">
        <v>30971.80994</v>
      </c>
      <c r="H120" s="141">
        <v>30916.92276</v>
      </c>
      <c r="I120" s="141">
        <v>30851.4249</v>
      </c>
      <c r="J120" s="141">
        <v>30927.85631</v>
      </c>
      <c r="K120" s="141">
        <v>30855.67491</v>
      </c>
      <c r="L120" s="141">
        <v>30932.36651</v>
      </c>
      <c r="M120" s="141">
        <v>30997.94911</v>
      </c>
      <c r="N120" s="141">
        <v>30979.9761300001</v>
      </c>
      <c r="O120" s="143">
        <v>46866.82906</v>
      </c>
      <c r="P120" s="141">
        <v>31313.18988</v>
      </c>
      <c r="Q120" s="141">
        <v>31169.60326</v>
      </c>
      <c r="R120" s="141">
        <v>29694.8847</v>
      </c>
      <c r="S120" s="141">
        <v>30980.06277</v>
      </c>
      <c r="T120" s="141">
        <v>30961.72652</v>
      </c>
      <c r="U120" s="141">
        <v>14312.12626</v>
      </c>
      <c r="V120" s="141">
        <v>14257.92305</v>
      </c>
      <c r="W120" s="141">
        <v>14359.79999</v>
      </c>
      <c r="X120" s="141">
        <v>14372.24251</v>
      </c>
      <c r="Y120" s="141">
        <v>14377.07269</v>
      </c>
      <c r="Z120" s="141">
        <v>14365.84021</v>
      </c>
      <c r="AA120" s="141">
        <v>28792.04922</v>
      </c>
      <c r="AB120" s="163">
        <v>3.78639</v>
      </c>
      <c r="AC120" s="164">
        <v>14464.61097</v>
      </c>
      <c r="AD120" s="164">
        <f>28886-SUM(AB120:AC120)</f>
        <v>14417.60264</v>
      </c>
      <c r="AE120" s="164">
        <f>43312.47-SUM(AB120:AD120)</f>
        <v>14426.47</v>
      </c>
      <c r="AF120" s="164">
        <v>14438.62749</v>
      </c>
      <c r="AG120" s="164">
        <v>14501.1433</v>
      </c>
      <c r="AI120" s="144">
        <f>SUM(J120:U120)</f>
        <v>369992.24542</v>
      </c>
      <c r="AJ120" s="144">
        <f>SUM(V120:AG120)</f>
        <v>172777.16846</v>
      </c>
    </row>
    <row ht="13.5" customHeight="1" hidden="1" outlineLevel="0" r="121">
      <c r="A121" s="147" t="s">
        <v>539</v>
      </c>
      <c r="B121" s="148">
        <v>404887.49127</v>
      </c>
      <c r="C121" s="149"/>
      <c r="D121" s="148"/>
      <c r="E121" s="148">
        <v>593888.75623</v>
      </c>
      <c r="F121" s="148">
        <v>454948.4739</v>
      </c>
      <c r="G121" s="148">
        <v>413471.06404</v>
      </c>
      <c r="H121" s="148">
        <v>305796.1201</v>
      </c>
      <c r="I121" s="148">
        <v>486764.14205</v>
      </c>
      <c r="J121" s="148">
        <v>370130.35305</v>
      </c>
      <c r="K121" s="148">
        <v>435002.5908</v>
      </c>
      <c r="L121" s="148">
        <v>539164.31825</v>
      </c>
      <c r="M121" s="148">
        <v>316408.08831</v>
      </c>
      <c r="N121" s="148">
        <v>465163.00096</v>
      </c>
      <c r="O121" s="150">
        <f>1332+103327.23042</f>
        <v>104659.23042</v>
      </c>
      <c r="P121" s="148">
        <v>465838.31901</v>
      </c>
      <c r="Q121" s="148">
        <v>387660.75235</v>
      </c>
      <c r="R121" s="148">
        <v>451662.25755</v>
      </c>
      <c r="S121" s="148">
        <v>305993.57934</v>
      </c>
      <c r="T121" s="148">
        <v>402122.30917</v>
      </c>
      <c r="U121" s="148">
        <v>473546.59586</v>
      </c>
      <c r="V121" s="148">
        <v>394254.391139999</v>
      </c>
      <c r="W121" s="148">
        <v>406852.5492</v>
      </c>
      <c r="X121" s="148">
        <v>413991.497</v>
      </c>
      <c r="Y121" s="148">
        <v>423666.0028</v>
      </c>
      <c r="Z121" s="148">
        <v>686960.995070001</v>
      </c>
      <c r="AA121" s="148">
        <f>224827.35527+5481</f>
        <v>230308.35527</v>
      </c>
      <c r="AB121" s="165">
        <v>220804.70544</v>
      </c>
      <c r="AC121" s="164">
        <v>227403.88504</v>
      </c>
      <c r="AD121" s="164">
        <f>847677-SUM(AB121:AC121)</f>
        <v>399468.40952</v>
      </c>
      <c r="AE121" s="164">
        <f>1257531.13-SUM(AB121:AD121)</f>
        <v>409854.13</v>
      </c>
      <c r="AF121" s="164">
        <v>414318.98368</v>
      </c>
      <c r="AG121" s="164">
        <v>546566.2582</v>
      </c>
      <c r="AI121" s="144">
        <f>SUM(J121:U121)</f>
        <v>4717351.39507</v>
      </c>
      <c r="AJ121" s="144">
        <f>SUM(V121:AG121)</f>
        <v>4774450.16236</v>
      </c>
    </row>
    <row ht="13.5" customHeight="1" hidden="1" outlineLevel="0" r="122">
      <c r="A122" s="153" t="s">
        <v>540</v>
      </c>
      <c r="B122" s="154">
        <f>+B120-B121</f>
        <v>-383769.60143</v>
      </c>
      <c r="C122" s="155"/>
      <c r="D122" s="154"/>
      <c r="E122" s="154">
        <f>+E120-E121</f>
        <v>-552669.07676</v>
      </c>
      <c r="F122" s="154">
        <f>+F120-F121</f>
        <v>-424093.64237</v>
      </c>
      <c r="G122" s="154">
        <f>+G120-G121</f>
        <v>-382499.2541</v>
      </c>
      <c r="H122" s="154">
        <f>+H120-H121</f>
        <v>-274879.19734</v>
      </c>
      <c r="I122" s="154">
        <f>+I120-I121</f>
        <v>-455912.71715</v>
      </c>
      <c r="J122" s="154">
        <f>+J120-J121</f>
        <v>-339202.49674</v>
      </c>
      <c r="K122" s="154">
        <f>+K120-K121</f>
        <v>-404146.91589</v>
      </c>
      <c r="L122" s="154">
        <f>+L120-L121</f>
        <v>-508231.95174</v>
      </c>
      <c r="M122" s="154">
        <f>+M120-M121</f>
        <v>-285410.1392</v>
      </c>
      <c r="N122" s="154">
        <f>+N120-N121</f>
        <v>-434183.02483</v>
      </c>
      <c r="O122" s="156">
        <f>+O120-O121</f>
        <v>-57792.40136</v>
      </c>
      <c r="P122" s="154">
        <f>+P120-P121</f>
        <v>-434525.12913</v>
      </c>
      <c r="Q122" s="154">
        <f>+Q120-Q121</f>
        <v>-356491.14909</v>
      </c>
      <c r="R122" s="154">
        <f>+R120-R121</f>
        <v>-421967.37285</v>
      </c>
      <c r="S122" s="154">
        <f>+S120-S121</f>
        <v>-275013.51657</v>
      </c>
      <c r="T122" s="154">
        <f>+T120-T121</f>
        <v>-371160.58265</v>
      </c>
      <c r="U122" s="154">
        <f>+U120-U121</f>
        <v>-459234.4696</v>
      </c>
      <c r="V122" s="154">
        <f>+V120-V121</f>
        <v>-379996.468089999</v>
      </c>
      <c r="W122" s="154">
        <f>+W120-W121</f>
        <v>-392492.74921</v>
      </c>
      <c r="X122" s="154">
        <f>+X120-X121</f>
        <v>-399619.25449</v>
      </c>
      <c r="Y122" s="154">
        <f>+Y120-Y121</f>
        <v>-409288.93011</v>
      </c>
      <c r="Z122" s="154">
        <f>+Z120-Z121</f>
        <v>-672595.154860001</v>
      </c>
      <c r="AA122" s="154">
        <f>+AA120-AA121</f>
        <v>-201516.30605</v>
      </c>
      <c r="AB122" s="159">
        <f>+AB120-AB121</f>
        <v>-220800.91905</v>
      </c>
      <c r="AC122" s="159">
        <f>+AC120-AC121</f>
        <v>-212939.27407</v>
      </c>
      <c r="AD122" s="159">
        <f>+AD120-AD121</f>
        <v>-385050.80688</v>
      </c>
      <c r="AE122" s="159">
        <f>+AE120-AE121</f>
        <v>-395427.66</v>
      </c>
      <c r="AF122" s="159">
        <f>+AF120-AF121</f>
        <v>-399880.35619</v>
      </c>
      <c r="AG122" s="159">
        <f>+AG120-AG121</f>
        <v>-532065.1149</v>
      </c>
      <c r="AI122" s="157">
        <f>+AI120-AI121</f>
        <v>-4347359.14965</v>
      </c>
      <c r="AJ122" s="157">
        <f>+AJ120-AJ121</f>
        <v>-4601672.9939</v>
      </c>
    </row>
    <row ht="13.8" hidden="1" outlineLevel="0" r="123">
      <c r="A123" s="166"/>
      <c r="B123" s="167"/>
      <c r="C123" s="168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  <c r="AA123" s="167"/>
      <c r="AB123" s="167"/>
      <c r="AC123" s="167"/>
      <c r="AD123" s="167"/>
      <c r="AE123" s="169"/>
    </row>
    <row ht="13.8" hidden="1" outlineLevel="0" r="124" s="116" customFormat="1">
      <c r="C124" s="117"/>
    </row>
    <row ht="13.8" hidden="1" outlineLevel="0" r="125" s="116" customFormat="1">
      <c r="C125" s="117"/>
    </row>
    <row ht="28.5" customHeight="1" hidden="1" outlineLevel="0" r="126">
      <c r="A126" s="121" t="s">
        <v>550</v>
      </c>
      <c r="AE126" s="122"/>
    </row>
    <row ht="13.8" hidden="1" outlineLevel="0" r="127">
      <c r="A127" s="170" t="s">
        <v>551</v>
      </c>
      <c r="B127" s="170"/>
      <c r="C127" s="170"/>
      <c r="D127" s="170"/>
      <c r="E127" s="170"/>
    </row>
    <row ht="13.8" hidden="1" outlineLevel="0" r="128">
      <c r="A128" s="171" t="s">
        <v>552</v>
      </c>
      <c r="B128" s="171">
        <v>2017</v>
      </c>
      <c r="C128" s="172"/>
      <c r="D128" s="171"/>
      <c r="E128" s="171">
        <v>2018</v>
      </c>
    </row>
    <row ht="13.8" hidden="1" outlineLevel="0" r="129">
      <c r="A129" s="173" t="s">
        <v>553</v>
      </c>
      <c r="B129" s="174">
        <v>33468503.10398</v>
      </c>
      <c r="C129" s="175"/>
      <c r="D129" s="174"/>
      <c r="E129" s="174">
        <v>33410891.68297</v>
      </c>
    </row>
    <row ht="13.8" hidden="1" outlineLevel="0" r="130">
      <c r="A130" s="176" t="s">
        <v>554</v>
      </c>
      <c r="B130" s="177">
        <v>78251927.32565</v>
      </c>
      <c r="C130" s="178"/>
      <c r="D130" s="177"/>
      <c r="E130" s="177">
        <v>79878747.24969</v>
      </c>
    </row>
    <row ht="13.8" hidden="1" outlineLevel="0" r="131">
      <c r="A131" s="179" t="s">
        <v>555</v>
      </c>
      <c r="B131" s="180">
        <v>-44783424.22167</v>
      </c>
      <c r="C131" s="181"/>
      <c r="D131" s="180"/>
      <c r="E131" s="180">
        <v>-46467855.56672</v>
      </c>
    </row>
    <row ht="13.8" hidden="1" outlineLevel="0" r="132">
      <c r="A132" s="170" t="s">
        <v>556</v>
      </c>
      <c r="B132" s="170"/>
      <c r="C132" s="170"/>
      <c r="D132" s="170"/>
      <c r="E132" s="170"/>
    </row>
    <row ht="13.8" hidden="1" outlineLevel="0" r="133">
      <c r="A133" s="171" t="s">
        <v>552</v>
      </c>
      <c r="B133" s="171">
        <v>2017</v>
      </c>
      <c r="C133" s="172"/>
      <c r="D133" s="171"/>
      <c r="E133" s="171">
        <v>2018</v>
      </c>
    </row>
    <row ht="13.8" hidden="1" outlineLevel="0" r="134">
      <c r="A134" s="176" t="s">
        <v>557</v>
      </c>
      <c r="B134" s="174">
        <v>2172823.28549</v>
      </c>
      <c r="C134" s="175"/>
      <c r="D134" s="174"/>
      <c r="E134" s="174">
        <v>2360049.7471</v>
      </c>
    </row>
    <row ht="13.8" hidden="1" outlineLevel="0" r="135">
      <c r="A135" s="176" t="s">
        <v>558</v>
      </c>
      <c r="B135" s="177">
        <v>19124913.44598</v>
      </c>
      <c r="C135" s="178"/>
      <c r="D135" s="177"/>
      <c r="E135" s="177">
        <v>21412991.51624</v>
      </c>
    </row>
    <row ht="13.8" hidden="1" outlineLevel="0" r="136">
      <c r="A136" s="176" t="s">
        <v>559</v>
      </c>
      <c r="B136" s="177">
        <v>21902045.85181</v>
      </c>
      <c r="C136" s="178"/>
      <c r="D136" s="177"/>
      <c r="E136" s="177">
        <v>24800292.18605</v>
      </c>
    </row>
    <row ht="13.8" hidden="1" outlineLevel="0" r="137">
      <c r="A137" s="179" t="s">
        <v>560</v>
      </c>
      <c r="B137" s="180">
        <v>-38854136.0123</v>
      </c>
      <c r="C137" s="181"/>
      <c r="D137" s="180"/>
      <c r="E137" s="180">
        <v>-43853233.95519</v>
      </c>
    </row>
    <row ht="13.8" hidden="1" outlineLevel="0" r="138"/>
    <row ht="13.8" hidden="1" outlineLevel="0" r="139"/>
    <row ht="22.05" hidden="1" outlineLevel="0" r="140">
      <c r="A140" s="121" t="s">
        <v>561</v>
      </c>
    </row>
    <row ht="13.5" customHeight="1" hidden="1" outlineLevel="0" r="141">
      <c r="A141" s="182" t="s">
        <v>562</v>
      </c>
      <c r="B141" s="128" t="s">
        <v>515</v>
      </c>
      <c r="C141" s="129"/>
      <c r="D141" s="128"/>
      <c r="E141" s="128" t="s">
        <v>516</v>
      </c>
      <c r="F141" s="128" t="s">
        <v>517</v>
      </c>
      <c r="G141" s="128" t="s">
        <v>518</v>
      </c>
      <c r="H141" s="128" t="s">
        <v>519</v>
      </c>
      <c r="I141" s="128" t="s">
        <v>520</v>
      </c>
      <c r="J141" s="128" t="s">
        <v>521</v>
      </c>
      <c r="K141" s="128" t="s">
        <v>522</v>
      </c>
      <c r="L141" s="128" t="s">
        <v>523</v>
      </c>
      <c r="M141" s="128" t="s">
        <v>524</v>
      </c>
      <c r="N141" s="128" t="s">
        <v>525</v>
      </c>
      <c r="O141" s="130" t="s">
        <v>463</v>
      </c>
      <c r="P141" s="128" t="s">
        <v>526</v>
      </c>
      <c r="Q141" s="128" t="s">
        <v>527</v>
      </c>
      <c r="R141" s="128" t="s">
        <v>528</v>
      </c>
      <c r="S141" s="128" t="s">
        <v>529</v>
      </c>
      <c r="T141" s="128" t="s">
        <v>530</v>
      </c>
      <c r="U141" s="128" t="s">
        <v>531</v>
      </c>
      <c r="V141" s="128" t="s">
        <v>532</v>
      </c>
      <c r="W141" s="128" t="s">
        <v>533</v>
      </c>
      <c r="X141" s="128" t="s">
        <v>534</v>
      </c>
      <c r="Y141" s="128" t="s">
        <v>535</v>
      </c>
      <c r="Z141" s="128" t="s">
        <v>536</v>
      </c>
      <c r="AA141" s="128" t="s">
        <v>464</v>
      </c>
      <c r="AB141" s="128" t="s">
        <v>537</v>
      </c>
      <c r="AC141" s="162" t="s">
        <v>543</v>
      </c>
      <c r="AD141" s="162" t="s">
        <v>544</v>
      </c>
      <c r="AE141" s="162" t="s">
        <v>545</v>
      </c>
      <c r="AF141" s="162" t="s">
        <v>546</v>
      </c>
      <c r="AG141" s="162" t="s">
        <v>547</v>
      </c>
      <c r="AI141" s="131" t="s">
        <v>542</v>
      </c>
      <c r="AJ141" s="131" t="s">
        <v>542</v>
      </c>
    </row>
    <row ht="13.5" customHeight="1" hidden="1" outlineLevel="0" r="142">
      <c r="A142" s="182"/>
      <c r="B142" s="134" t="s">
        <v>563</v>
      </c>
      <c r="C142" s="135"/>
      <c r="D142" s="134"/>
      <c r="E142" s="134" t="s">
        <v>563</v>
      </c>
      <c r="F142" s="134" t="s">
        <v>563</v>
      </c>
      <c r="G142" s="134" t="s">
        <v>563</v>
      </c>
      <c r="H142" s="134" t="s">
        <v>563</v>
      </c>
      <c r="I142" s="134" t="s">
        <v>563</v>
      </c>
      <c r="J142" s="134" t="s">
        <v>563</v>
      </c>
      <c r="K142" s="134" t="s">
        <v>563</v>
      </c>
      <c r="L142" s="134" t="s">
        <v>563</v>
      </c>
      <c r="M142" s="134" t="s">
        <v>563</v>
      </c>
      <c r="N142" s="134" t="s">
        <v>563</v>
      </c>
      <c r="O142" s="136" t="s">
        <v>563</v>
      </c>
      <c r="P142" s="134" t="s">
        <v>563</v>
      </c>
      <c r="Q142" s="134" t="s">
        <v>563</v>
      </c>
      <c r="R142" s="134" t="s">
        <v>563</v>
      </c>
      <c r="S142" s="134" t="s">
        <v>563</v>
      </c>
      <c r="T142" s="134" t="s">
        <v>563</v>
      </c>
      <c r="U142" s="134" t="s">
        <v>563</v>
      </c>
      <c r="V142" s="134" t="s">
        <v>563</v>
      </c>
      <c r="W142" s="134" t="s">
        <v>563</v>
      </c>
      <c r="X142" s="134" t="s">
        <v>563</v>
      </c>
      <c r="Y142" s="134" t="s">
        <v>563</v>
      </c>
      <c r="Z142" s="134" t="s">
        <v>563</v>
      </c>
      <c r="AA142" s="134" t="s">
        <v>563</v>
      </c>
      <c r="AB142" s="134" t="s">
        <v>563</v>
      </c>
      <c r="AC142" s="162"/>
      <c r="AD142" s="162"/>
      <c r="AE142" s="162"/>
      <c r="AF142" s="162"/>
      <c r="AG142" s="161"/>
      <c r="AI142" s="138" t="s">
        <v>564</v>
      </c>
      <c r="AJ142" s="138" t="s">
        <v>565</v>
      </c>
    </row>
    <row ht="13.8" hidden="1" outlineLevel="0" r="143" s="100" customFormat="1">
      <c r="A143" s="183" t="s">
        <v>566</v>
      </c>
      <c r="B143" s="184">
        <v>2448.38214408</v>
      </c>
      <c r="C143" s="185"/>
      <c r="D143" s="184"/>
      <c r="E143" s="184">
        <v>2581.07958764</v>
      </c>
      <c r="F143" s="184">
        <v>2532.67752003</v>
      </c>
      <c r="G143" s="184">
        <v>2511.11797025</v>
      </c>
      <c r="H143" s="184">
        <v>2515.45317892</v>
      </c>
      <c r="I143" s="184">
        <v>2708.09721019</v>
      </c>
      <c r="J143" s="184">
        <v>2671.27984327</v>
      </c>
      <c r="K143" s="184">
        <v>2647.98144811</v>
      </c>
      <c r="L143" s="184">
        <v>2467.06131637</v>
      </c>
      <c r="M143" s="184">
        <v>2633.20035762</v>
      </c>
      <c r="N143" s="184">
        <v>4781.20652298</v>
      </c>
      <c r="O143" s="186">
        <v>2970.96600452</v>
      </c>
      <c r="P143" s="184">
        <v>2427.92562646</v>
      </c>
      <c r="Q143" s="184">
        <v>2615.76308712</v>
      </c>
      <c r="R143" s="184">
        <v>2534.82362558</v>
      </c>
      <c r="S143" s="184">
        <v>2693.76098688</v>
      </c>
      <c r="T143" s="184">
        <v>2681.03270934</v>
      </c>
      <c r="U143" s="184">
        <v>2586.66995261</v>
      </c>
      <c r="V143" s="184">
        <v>2611.45779046</v>
      </c>
      <c r="W143" s="184">
        <v>2502.52177549</v>
      </c>
      <c r="X143" s="184">
        <v>2534.00147519</v>
      </c>
      <c r="Y143" s="184">
        <v>2549.78804808</v>
      </c>
      <c r="Z143" s="184">
        <v>4577.33331208</v>
      </c>
      <c r="AA143" s="184">
        <v>3095.81329368</v>
      </c>
      <c r="AB143" s="184">
        <v>2576.05087992</v>
      </c>
      <c r="AC143" s="187">
        <v>2610.93551539</v>
      </c>
      <c r="AD143" s="187">
        <f>7760.183-SUM(AB143:AC143)</f>
        <v>2573.19660469</v>
      </c>
      <c r="AE143" s="187">
        <f>10272.273-SUM(AB143:AD143)</f>
        <v>2512.09</v>
      </c>
      <c r="AF143" s="187">
        <v>2804.0161105</v>
      </c>
      <c r="AG143" s="188">
        <v>2565.93643759</v>
      </c>
      <c r="AI143" s="189">
        <f>+SUM(J143:U143)</f>
        <v>33711.67148086</v>
      </c>
      <c r="AJ143" s="189">
        <f>+SUM(V143:AG143)</f>
        <v>33513.14124307</v>
      </c>
    </row>
    <row ht="24.75" customHeight="1" hidden="1" outlineLevel="0" r="144" s="100" customFormat="1">
      <c r="A144" s="183" t="s">
        <v>567</v>
      </c>
      <c r="B144" s="184">
        <v>6131.80385347</v>
      </c>
      <c r="C144" s="185"/>
      <c r="D144" s="184"/>
      <c r="E144" s="184">
        <v>5813.90227282</v>
      </c>
      <c r="F144" s="184">
        <v>5854.02461949</v>
      </c>
      <c r="G144" s="184">
        <v>5892.42526252</v>
      </c>
      <c r="H144" s="184">
        <v>6325.76527817</v>
      </c>
      <c r="I144" s="184">
        <v>8433.79911368</v>
      </c>
      <c r="J144" s="184">
        <v>6048.05415308</v>
      </c>
      <c r="K144" s="184">
        <v>6029.2430183</v>
      </c>
      <c r="L144" s="184">
        <v>6047.76742245</v>
      </c>
      <c r="M144" s="184">
        <v>5980.93128479</v>
      </c>
      <c r="N144" s="184">
        <v>8822.96524326001</v>
      </c>
      <c r="O144" s="186">
        <v>6871.24580362</v>
      </c>
      <c r="P144" s="184">
        <v>6291.37728532</v>
      </c>
      <c r="Q144" s="184">
        <v>6043.91622584</v>
      </c>
      <c r="R144" s="184">
        <v>6377.01067579</v>
      </c>
      <c r="S144" s="184">
        <v>6088.16674294</v>
      </c>
      <c r="T144" s="184">
        <v>6183.82372648</v>
      </c>
      <c r="U144" s="184">
        <v>8637.3741547</v>
      </c>
      <c r="V144" s="184">
        <v>6126.73575171</v>
      </c>
      <c r="W144" s="184">
        <v>6202.25658854</v>
      </c>
      <c r="X144" s="184">
        <v>6159.11763462</v>
      </c>
      <c r="Y144" s="184">
        <v>6159.45460528001</v>
      </c>
      <c r="Z144" s="184">
        <v>9062.96790399001</v>
      </c>
      <c r="AA144" s="184">
        <v>6546.54595448</v>
      </c>
      <c r="AB144" s="184">
        <v>6716.56208575</v>
      </c>
      <c r="AC144" s="187">
        <v>6350.41249551</v>
      </c>
      <c r="AD144" s="187">
        <f>19904.882-SUM(AB144:AC144)</f>
        <v>6837.90741874</v>
      </c>
      <c r="AE144" s="187">
        <f>26550.872-SUM(AB144:AD144)</f>
        <v>6645.99</v>
      </c>
      <c r="AF144" s="187">
        <v>6766.63479999001</v>
      </c>
      <c r="AG144" s="188">
        <v>9216.98330406</v>
      </c>
      <c r="AI144" s="189">
        <f>+SUM(J144:U144)</f>
        <v>79421.87573657</v>
      </c>
      <c r="AJ144" s="189">
        <f>+SUM(V144:AG144)</f>
        <v>82791.56854267</v>
      </c>
    </row>
    <row ht="13.5" customHeight="1" hidden="1" outlineLevel="0" r="145" s="100" customFormat="1">
      <c r="A145" s="190" t="s">
        <v>555</v>
      </c>
      <c r="B145" s="191">
        <f>+B144-B143</f>
        <v>3683.42170939</v>
      </c>
      <c r="C145" s="192"/>
      <c r="D145" s="191"/>
      <c r="E145" s="191">
        <f>+E144-E143</f>
        <v>3232.82268518</v>
      </c>
      <c r="F145" s="191">
        <f>+F144-F143</f>
        <v>3321.34709946</v>
      </c>
      <c r="G145" s="191">
        <f>+G144-G143</f>
        <v>3381.30729227</v>
      </c>
      <c r="H145" s="191">
        <f>+H144-H143</f>
        <v>3810.31209925</v>
      </c>
      <c r="I145" s="191">
        <f>+I144-I143</f>
        <v>5725.70190349</v>
      </c>
      <c r="J145" s="191">
        <f>+J144-J143</f>
        <v>3376.77430981</v>
      </c>
      <c r="K145" s="191">
        <f>+K144-K143</f>
        <v>3381.26157019</v>
      </c>
      <c r="L145" s="191">
        <f>+L144-L143</f>
        <v>3580.70610608</v>
      </c>
      <c r="M145" s="191">
        <f>+M144-M143</f>
        <v>3347.73092717</v>
      </c>
      <c r="N145" s="191">
        <f>+N144-N143</f>
        <v>4041.75872028001</v>
      </c>
      <c r="O145" s="191">
        <f>+O144-O143</f>
        <v>3900.2797991</v>
      </c>
      <c r="P145" s="191">
        <f>+P144-P143</f>
        <v>3863.45165886</v>
      </c>
      <c r="Q145" s="191">
        <f>+Q144-Q143</f>
        <v>3428.15313872</v>
      </c>
      <c r="R145" s="191">
        <f>+R144-R143</f>
        <v>3842.18705021</v>
      </c>
      <c r="S145" s="191">
        <f>+S144-S143</f>
        <v>3394.40575606</v>
      </c>
      <c r="T145" s="191">
        <f>+T144-T143</f>
        <v>3502.79101714</v>
      </c>
      <c r="U145" s="191">
        <f>+U144-U143</f>
        <v>6050.70420209</v>
      </c>
      <c r="V145" s="191">
        <f>+V144-V143</f>
        <v>3515.27796125</v>
      </c>
      <c r="W145" s="191">
        <f>+W144-W143</f>
        <v>3699.73481305</v>
      </c>
      <c r="X145" s="191">
        <f>+X144-X143</f>
        <v>3625.11615943</v>
      </c>
      <c r="Y145" s="191">
        <f>+Y144-Y143</f>
        <v>3609.66655720001</v>
      </c>
      <c r="Z145" s="191">
        <f>+Z144-Z143</f>
        <v>4485.63459191001</v>
      </c>
      <c r="AA145" s="191">
        <f>+AA144-AA143</f>
        <v>3450.7326608</v>
      </c>
      <c r="AB145" s="191">
        <f>+AB144-AB143</f>
        <v>4140.51120583</v>
      </c>
      <c r="AC145" s="191">
        <f>+AC144-AC143</f>
        <v>3739.47698012</v>
      </c>
      <c r="AD145" s="191">
        <f>+AD144-AD143</f>
        <v>4264.71081405</v>
      </c>
      <c r="AE145" s="191">
        <f>+AE144-AE143</f>
        <v>4133.9</v>
      </c>
      <c r="AF145" s="191">
        <f>+AF144-AF143</f>
        <v>3962.61868949001</v>
      </c>
      <c r="AG145" s="191">
        <f>+AG144-AG143</f>
        <v>6651.04686647</v>
      </c>
      <c r="AI145" s="193">
        <f>+AI144-AI143</f>
        <v>45710.20425571</v>
      </c>
      <c r="AJ145" s="193">
        <f>+AJ144-AJ143</f>
        <v>49278.4272996</v>
      </c>
    </row>
    <row ht="29.25" customHeight="1" hidden="1" outlineLevel="0" r="146" s="100" customFormat="1">
      <c r="A146" s="183" t="s">
        <v>487</v>
      </c>
      <c r="B146" s="184">
        <v>134.84177107</v>
      </c>
      <c r="C146" s="185"/>
      <c r="D146" s="184"/>
      <c r="E146" s="184">
        <v>179.22082673</v>
      </c>
      <c r="F146" s="184">
        <v>179.43733833</v>
      </c>
      <c r="G146" s="184">
        <v>179.97078967</v>
      </c>
      <c r="H146" s="184">
        <v>181.05914646</v>
      </c>
      <c r="I146" s="184">
        <v>182.35656502</v>
      </c>
      <c r="J146" s="184">
        <v>183.06631833</v>
      </c>
      <c r="K146" s="184">
        <v>181.88195247</v>
      </c>
      <c r="L146" s="184">
        <v>182.89495953</v>
      </c>
      <c r="M146" s="184">
        <v>182.16931982</v>
      </c>
      <c r="N146" s="184">
        <v>178.83055966</v>
      </c>
      <c r="O146" s="186">
        <v>227.0937384</v>
      </c>
      <c r="P146" s="184">
        <v>148.56149495</v>
      </c>
      <c r="Q146" s="184">
        <v>195.44536807</v>
      </c>
      <c r="R146" s="184">
        <v>195.66557034</v>
      </c>
      <c r="S146" s="184">
        <v>196.46283909</v>
      </c>
      <c r="T146" s="184">
        <v>196.65547259</v>
      </c>
      <c r="U146" s="184">
        <v>196.8740681</v>
      </c>
      <c r="V146" s="184">
        <v>197.2423099</v>
      </c>
      <c r="W146" s="184">
        <v>196.85988795</v>
      </c>
      <c r="X146" s="184">
        <v>197.1432059</v>
      </c>
      <c r="Y146" s="184">
        <v>197.15770298</v>
      </c>
      <c r="Z146" s="184">
        <v>196.76674531</v>
      </c>
      <c r="AA146" s="184">
        <v>245.21508192</v>
      </c>
      <c r="AB146" s="184">
        <v>159.27625772</v>
      </c>
      <c r="AC146" s="187">
        <v>209.87591762</v>
      </c>
      <c r="AD146" s="187">
        <v>209.73382466</v>
      </c>
      <c r="AE146" s="187">
        <v>210.304</v>
      </c>
      <c r="AF146" s="187">
        <v>210.38997482</v>
      </c>
      <c r="AG146" s="188">
        <v>209.9670442</v>
      </c>
      <c r="AI146" s="189">
        <f>+SUM(J146:U146)</f>
        <v>2265.60166135</v>
      </c>
      <c r="AJ146" s="189">
        <f>+SUM(V146:AG146)</f>
        <v>2439.93195298</v>
      </c>
    </row>
    <row ht="13.5" customHeight="1" hidden="1" outlineLevel="0" r="147" s="100" customFormat="1">
      <c r="A147" s="183" t="s">
        <v>568</v>
      </c>
      <c r="B147" s="184">
        <v>1465.36822545</v>
      </c>
      <c r="C147" s="185"/>
      <c r="D147" s="184"/>
      <c r="E147" s="184">
        <v>1459.10656137</v>
      </c>
      <c r="F147" s="184">
        <v>1462.32843817</v>
      </c>
      <c r="G147" s="184">
        <v>1465.74183371</v>
      </c>
      <c r="H147" s="184">
        <v>1464.17295113</v>
      </c>
      <c r="I147" s="184">
        <v>2201.36157928</v>
      </c>
      <c r="J147" s="184">
        <v>1374.53782005</v>
      </c>
      <c r="K147" s="184">
        <v>1576.45706303</v>
      </c>
      <c r="L147" s="184">
        <v>1475.4919879</v>
      </c>
      <c r="M147" s="184">
        <v>1480.47764408</v>
      </c>
      <c r="N147" s="184">
        <v>2211.89997198</v>
      </c>
      <c r="O147" s="186">
        <v>1487.96936983</v>
      </c>
      <c r="P147" s="184">
        <v>1632.69446755</v>
      </c>
      <c r="Q147" s="184">
        <v>1634.26673167</v>
      </c>
      <c r="R147" s="184">
        <v>1637.47455031</v>
      </c>
      <c r="S147" s="184">
        <v>1640.86625617</v>
      </c>
      <c r="T147" s="184">
        <v>1645.46432472</v>
      </c>
      <c r="U147" s="184">
        <v>2454.57465474</v>
      </c>
      <c r="V147" s="184">
        <v>1652.0579828</v>
      </c>
      <c r="W147" s="184">
        <v>1652.73888953</v>
      </c>
      <c r="X147" s="184">
        <v>1656.78750683</v>
      </c>
      <c r="Y147" s="184">
        <v>1660.83974775</v>
      </c>
      <c r="Z147" s="184">
        <v>2493.05410027</v>
      </c>
      <c r="AA147" s="184">
        <v>1652.1723039</v>
      </c>
      <c r="AB147" s="184">
        <v>1744.41236402</v>
      </c>
      <c r="AC147" s="187">
        <v>1749.82980876</v>
      </c>
      <c r="AD147" s="187">
        <f>5245.338-SUM(AB147:AC147)</f>
        <v>1751.09582722</v>
      </c>
      <c r="AE147" s="187">
        <f>7002.409-SUM(AB147:AD147)</f>
        <v>1757.071</v>
      </c>
      <c r="AF147" s="187">
        <v>1764.13275992</v>
      </c>
      <c r="AG147" s="188">
        <v>2622.89227512</v>
      </c>
      <c r="AI147" s="189">
        <f>+SUM(J147:U147)</f>
        <v>20252.17484203</v>
      </c>
      <c r="AJ147" s="189">
        <f>+SUM(V147:AG147)</f>
        <v>22157.08456612</v>
      </c>
    </row>
    <row ht="13.5" customHeight="1" hidden="1" outlineLevel="0" r="148" s="100" customFormat="1">
      <c r="A148" s="183" t="s">
        <v>569</v>
      </c>
      <c r="B148" s="184">
        <v>1670.40866291</v>
      </c>
      <c r="C148" s="185"/>
      <c r="D148" s="184"/>
      <c r="E148" s="184">
        <v>1754.32717544</v>
      </c>
      <c r="F148" s="184">
        <v>1598.33195799</v>
      </c>
      <c r="G148" s="184">
        <v>1681.11568711</v>
      </c>
      <c r="H148" s="184">
        <v>1681.29906646</v>
      </c>
      <c r="I148" s="184">
        <v>2518.29093527</v>
      </c>
      <c r="J148" s="184">
        <v>1688.10486457</v>
      </c>
      <c r="K148" s="184">
        <v>1674.94003915</v>
      </c>
      <c r="L148" s="184">
        <v>1698.60209039</v>
      </c>
      <c r="M148" s="184">
        <v>1699.63344328</v>
      </c>
      <c r="N148" s="184">
        <v>2532.13021454</v>
      </c>
      <c r="O148" s="186">
        <v>1704.8617147</v>
      </c>
      <c r="P148" s="184">
        <v>1882.35198377</v>
      </c>
      <c r="Q148" s="184">
        <v>1886.89029419</v>
      </c>
      <c r="R148" s="184">
        <v>1897.33971191</v>
      </c>
      <c r="S148" s="184">
        <v>1883.22505293</v>
      </c>
      <c r="T148" s="184">
        <v>1899.09490686</v>
      </c>
      <c r="U148" s="184">
        <v>2837.06075484</v>
      </c>
      <c r="V148" s="184">
        <v>1913.19139726</v>
      </c>
      <c r="W148" s="184">
        <v>1916.37004493</v>
      </c>
      <c r="X148" s="184">
        <v>1938.06686236</v>
      </c>
      <c r="Y148" s="184">
        <v>1935.15936306</v>
      </c>
      <c r="Z148" s="184">
        <v>2865.02720529</v>
      </c>
      <c r="AA148" s="184">
        <v>1946.51460865</v>
      </c>
      <c r="AB148" s="184">
        <v>2044.79685576</v>
      </c>
      <c r="AC148" s="187">
        <v>2054.1443118</v>
      </c>
      <c r="AD148" s="187">
        <f>6153.475-SUM(AB148:AC148)</f>
        <v>2054.53383244</v>
      </c>
      <c r="AE148" s="187">
        <f>8225.085-SUM(AB148:AD148)</f>
        <v>2071.61</v>
      </c>
      <c r="AF148" s="187">
        <v>2086.85033096</v>
      </c>
      <c r="AG148" s="188">
        <v>3056.34866415</v>
      </c>
      <c r="AI148" s="189">
        <f>+SUM(J148:U148)</f>
        <v>23284.23507113</v>
      </c>
      <c r="AJ148" s="189">
        <f>+SUM(V148:AG148)</f>
        <v>25882.61347666</v>
      </c>
    </row>
    <row ht="13.5" customHeight="1" hidden="1" outlineLevel="0" r="149" s="100" customFormat="1">
      <c r="A149" s="190" t="s">
        <v>560</v>
      </c>
      <c r="B149" s="191">
        <f>+B148+B147-B146</f>
        <v>3000.93511729</v>
      </c>
      <c r="C149" s="192"/>
      <c r="D149" s="191"/>
      <c r="E149" s="191">
        <f>+E148+E147-E146</f>
        <v>3034.21291008</v>
      </c>
      <c r="F149" s="191">
        <f>+F148+F147-F146</f>
        <v>2881.22305783</v>
      </c>
      <c r="G149" s="191">
        <f>+G148+G147-G146</f>
        <v>2966.88673115</v>
      </c>
      <c r="H149" s="191">
        <f>+H148+H147-H146</f>
        <v>2964.41287113</v>
      </c>
      <c r="I149" s="191">
        <f>+I148+I147-I146</f>
        <v>4537.29594953</v>
      </c>
      <c r="J149" s="191">
        <f>+J148+J147-J146</f>
        <v>2879.57636629</v>
      </c>
      <c r="K149" s="191">
        <f>+K148+K147-K146</f>
        <v>3069.51514971</v>
      </c>
      <c r="L149" s="191">
        <f>+L148+L147-L146</f>
        <v>2991.19911876</v>
      </c>
      <c r="M149" s="191">
        <f>+M148+M147-M146</f>
        <v>2997.94176754</v>
      </c>
      <c r="N149" s="191">
        <f>+N148+N147-N146</f>
        <v>4565.19962686</v>
      </c>
      <c r="O149" s="191">
        <f>+O148+O147-O146</f>
        <v>2965.73734613</v>
      </c>
      <c r="P149" s="191">
        <f>+P148+P147-P146</f>
        <v>3366.48495637</v>
      </c>
      <c r="Q149" s="191">
        <f>+Q148+Q147-Q146</f>
        <v>3325.71165779</v>
      </c>
      <c r="R149" s="191">
        <f>+R148+R147-R146</f>
        <v>3339.14869188</v>
      </c>
      <c r="S149" s="191">
        <f>+S148+S147-S146</f>
        <v>3327.62847001</v>
      </c>
      <c r="T149" s="191">
        <f>+T148+T147-T146</f>
        <v>3347.90375899</v>
      </c>
      <c r="U149" s="191">
        <f>+U148+U147-U146</f>
        <v>5094.76134148</v>
      </c>
      <c r="V149" s="191">
        <f>+V148+V147-V146</f>
        <v>3368.00707016</v>
      </c>
      <c r="W149" s="191">
        <f>+W148+W147-W146</f>
        <v>3372.24904651</v>
      </c>
      <c r="X149" s="191">
        <f>+X148+X147-X146</f>
        <v>3397.71116329</v>
      </c>
      <c r="Y149" s="191">
        <f>+Y148+Y147-Y146</f>
        <v>3398.84140783</v>
      </c>
      <c r="Z149" s="191">
        <f>+Z148+Z147-Z146</f>
        <v>5161.31456025</v>
      </c>
      <c r="AA149" s="191">
        <f>+AA148+AA147-AA146</f>
        <v>3353.47183063</v>
      </c>
      <c r="AB149" s="191">
        <f>+AB148+AB147-AB146</f>
        <v>3629.93296206</v>
      </c>
      <c r="AC149" s="191">
        <f>+AC148+AC147-AC146</f>
        <v>3594.09820294</v>
      </c>
      <c r="AD149" s="191">
        <f>+AD148+AD147-AD146</f>
        <v>3595.895835</v>
      </c>
      <c r="AE149" s="191">
        <f>+AE148+AE147-AE146</f>
        <v>3618.377</v>
      </c>
      <c r="AF149" s="191">
        <f>+AF148+AF147-AF146</f>
        <v>3640.59311606</v>
      </c>
      <c r="AG149" s="191">
        <f>+AG148+AG147-AG146</f>
        <v>5469.27389507</v>
      </c>
      <c r="AI149" s="193">
        <f>+AI148+AI147-AI146</f>
        <v>41270.80825181</v>
      </c>
      <c r="AJ149" s="193">
        <f>+AJ148+AJ147-AJ146</f>
        <v>45599.7660898</v>
      </c>
    </row>
    <row ht="13.8" hidden="1" outlineLevel="0" r="150"/>
    <row ht="13.8" hidden="1" outlineLevel="0" r="151" s="195" customFormat="1">
      <c r="A151" s="194"/>
      <c r="C151" s="196"/>
    </row>
    <row ht="13.8" hidden="1" outlineLevel="0" r="152" s="195" customFormat="1">
      <c r="C152" s="196"/>
    </row>
    <row ht="13.8" hidden="1" outlineLevel="0" r="153" s="195" customFormat="1">
      <c r="C153" s="196"/>
    </row>
    <row ht="13.8" outlineLevel="0" r="154" s="195" customFormat="1">
      <c r="C154" s="196"/>
    </row>
    <row ht="13.8" outlineLevel="0" r="155" s="195" customFormat="1">
      <c r="C155" s="196"/>
    </row>
    <row ht="13.8" outlineLevel="0" r="156" s="195" customFormat="1">
      <c r="C156" s="196"/>
    </row>
    <row ht="13.8" outlineLevel="0" r="157" s="195" customFormat="1">
      <c r="C157" s="196"/>
    </row>
  </sheetData>
  <mergeCells count="8">
    <mergeCell ref="E54:F54"/>
    <mergeCell ref="A106:O106"/>
    <mergeCell ref="A107:O107"/>
    <mergeCell ref="A109:A110"/>
    <mergeCell ref="A118:A119"/>
    <mergeCell ref="A127:E127"/>
    <mergeCell ref="A132:E132"/>
    <mergeCell ref="A141:A142"/>
  </mergeCells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FFC000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2"/>
  <cols>
    <col min="1" max="1" width="12.02" style="4" customWidth="1"/>
    <col min="2" max="2" width="14.31" style="5" customWidth="1"/>
    <col min="3" max="3" width="22.28" style="5" customWidth="1"/>
    <col min="4" max="4" width="20.65" style="5" customWidth="1"/>
    <col min="5" max="5" width="14.71" style="5" customWidth="1"/>
    <col min="6" max="6" width="22.68" style="5" customWidth="1"/>
    <col min="7" max="7" width="21.19" style="5" customWidth="1"/>
    <col min="8" max="8" width="17.41" style="5" customWidth="1"/>
    <col min="9" max="9" width="25.38" style="5" customWidth="1"/>
    <col min="10" max="10" width="23.62" style="5" customWidth="1"/>
    <col min="11" max="11" width="17.82" style="5" customWidth="1"/>
    <col min="12" max="12" width="25.79" style="5" customWidth="1"/>
    <col min="13" max="13" width="24.03" style="5" customWidth="1"/>
    <col min="14" max="14" width="17.55" style="5" customWidth="1"/>
    <col min="15" max="15" width="19.31" style="5" customWidth="1"/>
    <col min="16" max="16" width="23.08" style="5" customWidth="1"/>
    <col min="17" max="17" width="11.88" style="4" customWidth="1"/>
    <col min="18" max="18" width="19.04" style="4" customWidth="1"/>
    <col min="19" max="19" width="23.49" style="4" customWidth="1"/>
    <col min="20" max="20" width="13.9" style="4" customWidth="1"/>
    <col min="21" max="21" width="21.87" style="4" customWidth="1"/>
    <col min="22" max="22" width="20.11" style="4" customWidth="1"/>
    <col min="23" max="23" width="14.31" style="4" customWidth="1"/>
    <col min="24" max="24" width="22.28" style="4" customWidth="1"/>
    <col min="25" max="25" width="20.65" style="4" customWidth="1"/>
    <col min="26" max="29" width="11.47" style="4" customWidth="1"/>
    <col min="30" max="30" width="7.96" style="4" customWidth="1"/>
    <col min="31" max="31" width="13.77" style="4" customWidth="1"/>
    <col min="32" max="32" width="7.83" style="4" customWidth="1"/>
    <col min="33" max="1025" width="8.64" style="4" customWidth="1"/>
  </cols>
  <sheetData>
    <row ht="17.9" outlineLevel="0" r="1" s="197" customFormat="1">
      <c r="A1" s="197" t="s">
        <v>570</v>
      </c>
      <c r="B1" s="198" t="s">
        <v>480</v>
      </c>
      <c r="C1" s="198" t="s">
        <v>571</v>
      </c>
      <c r="D1" s="198" t="s">
        <v>498</v>
      </c>
      <c r="E1" s="198" t="s">
        <v>481</v>
      </c>
      <c r="F1" s="198" t="s">
        <v>572</v>
      </c>
      <c r="G1" s="198" t="s">
        <v>573</v>
      </c>
      <c r="H1" s="198" t="s">
        <v>484</v>
      </c>
      <c r="I1" s="198" t="s">
        <v>574</v>
      </c>
      <c r="J1" s="198" t="s">
        <v>501</v>
      </c>
      <c r="K1" s="198" t="s">
        <v>485</v>
      </c>
      <c r="L1" s="198" t="s">
        <v>575</v>
      </c>
      <c r="M1" s="198" t="s">
        <v>502</v>
      </c>
      <c r="N1" s="198" t="s">
        <v>488</v>
      </c>
      <c r="O1" s="198" t="s">
        <v>576</v>
      </c>
      <c r="P1" s="198" t="s">
        <v>503</v>
      </c>
      <c r="Q1" s="198" t="s">
        <v>490</v>
      </c>
      <c r="R1" s="198" t="s">
        <v>577</v>
      </c>
      <c r="S1" s="198" t="s">
        <v>504</v>
      </c>
      <c r="T1" s="23" t="s">
        <v>492</v>
      </c>
      <c r="U1" s="23" t="s">
        <v>578</v>
      </c>
      <c r="V1" s="23" t="s">
        <v>505</v>
      </c>
      <c r="W1" s="23" t="s">
        <v>493</v>
      </c>
      <c r="X1" s="23" t="s">
        <v>579</v>
      </c>
      <c r="Y1" s="23" t="s">
        <v>506</v>
      </c>
      <c r="Z1" s="2" t="s">
        <v>580</v>
      </c>
      <c r="AA1" s="2" t="s">
        <v>581</v>
      </c>
      <c r="AB1" s="2" t="s">
        <v>582</v>
      </c>
      <c r="AC1" s="2" t="s">
        <v>583</v>
      </c>
      <c r="AD1" s="197" t="s">
        <v>584</v>
      </c>
      <c r="AE1" s="197" t="s">
        <v>585</v>
      </c>
      <c r="AF1" s="197" t="s">
        <v>430</v>
      </c>
    </row>
    <row ht="13.8" outlineLevel="0" r="2">
      <c r="A2" s="17">
        <v>39448</v>
      </c>
      <c r="B2" s="5">
        <v>10981602434.49</v>
      </c>
      <c r="C2" s="5">
        <f>IF(MONTH('Previdência_(série)'!$A2)=1,'Previdência_(série)'!$B2,'Previdência_(série)'!$B2-B1)</f>
        <v>10981602434.49</v>
      </c>
      <c r="D2" s="5">
        <f>SUMIFS('Previdência_(série)'!$C$2:$C$166,'Previdência_(série)'!$A$2:$A$166,"&gt;"&amp;EDATE('Previdência_(série)'!$A2,-12),'Previdência_(série)'!$A$2:$A$166,"&lt;"&amp;EDATE(A2,1))</f>
        <v>10981602434.49</v>
      </c>
      <c r="E2" s="5">
        <v>15882435351.72</v>
      </c>
      <c r="F2" s="5">
        <f>IF(MONTH('Previdência_(série)'!$A2)=1,'Previdência_(série)'!$E2,'Previdência_(série)'!$E2-E1)</f>
        <v>15882435351.72</v>
      </c>
      <c r="G2" s="5">
        <f>SUMIFS('Previdência_(série)'!$F$2:$F$166,'Previdência_(série)'!$A$2:$A$166,"&gt;"&amp;EDATE('Previdência_(série)'!$A2,-12),'Previdência_(série)'!$A$2:$A$166,"&lt;"&amp;EDATE(A2,1))</f>
        <v>15882435351.72</v>
      </c>
      <c r="H2" s="5">
        <v>1026049068.72</v>
      </c>
      <c r="I2" s="5">
        <f>IF(MONTH('Previdência_(série)'!$A2)=1,'Previdência_(série)'!$H2,'Previdência_(série)'!$H2-H1)</f>
        <v>1026049068.72</v>
      </c>
      <c r="J2" s="5">
        <f>SUMIFS('Previdência_(série)'!$I$2:$I$166,'Previdência_(série)'!$A$2:$A$166,"&gt;"&amp;EDATE('Previdência_(série)'!$A2,-12),'Previdência_(série)'!$A$2:$A$166,"&lt;"&amp;EDATE(A2,1))</f>
        <v>1026049068.72</v>
      </c>
      <c r="K2" s="5">
        <v>2935704909.96</v>
      </c>
      <c r="L2" s="5">
        <f>IF(MONTH('Previdência_(série)'!$A2)=1,'Previdência_(série)'!$K2,'Previdência_(série)'!$K2-K1)</f>
        <v>2935704909.96</v>
      </c>
      <c r="M2" s="5">
        <f>SUMIFS('Previdência_(série)'!$L$2:$L$166,'Previdência_(série)'!$A$2:$A$166,"&gt;"&amp;EDATE('Previdência_(série)'!$A2,-12),'Previdência_(série)'!$A$2:$A$166,"&lt;"&amp;EDATE(A2,1))</f>
        <v>2935704909.96</v>
      </c>
      <c r="N2" s="5">
        <v>109713618.1</v>
      </c>
      <c r="O2" s="5">
        <f>IF(MONTH('Previdência_(série)'!$A2)=1,'Previdência_(série)'!$N2,'Previdência_(série)'!$N2-N1)</f>
        <v>109713618.1</v>
      </c>
      <c r="P2" s="5">
        <f>SUMIFS('Previdência_(série)'!$O$2:$O$166,'Previdência_(série)'!$A$2:$A$166,"&gt;"&amp;EDATE('Previdência_(série)'!$A2,-12),'Previdência_(série)'!$A$2:$A$166,"&lt;"&amp;EDATE(A2,1))</f>
        <v>109713618.1</v>
      </c>
      <c r="Q2" s="5">
        <v>1332296438.31</v>
      </c>
      <c r="R2" s="5">
        <f>IF(MONTH('Previdência_(série)'!$A2)=1,'Previdência_(série)'!$Q2,'Previdência_(série)'!$Q2-Q1)</f>
        <v>1332296438.31</v>
      </c>
      <c r="S2" s="5">
        <f>SUMIFS('Previdência_(série)'!$R$2:$R$166,'Previdência_(série)'!$A$2:$A$166,"&gt;"&amp;EDATE('Previdência_(série)'!$A2,-12),'Previdência_(série)'!$A$2:$A$166,"&lt;"&amp;EDATE(A2,1))</f>
        <v>1332296438.31</v>
      </c>
      <c r="T2" s="5"/>
      <c r="U2" s="5" t="s">
        <f>IF(MONTH('Previdência_(série)'!$A2)=1,'Previdência_(série)'!$T2,'Previdência_(série)'!$T2-T1)</f>
      </c>
      <c r="V2" s="5">
        <f>SUMIFS('Previdência_(série)'!$U$2:$U$166,'Previdência_(série)'!$A$2:$A$166,"&gt;"&amp;EDATE('Previdência_(série)'!$A2,-12),'Previdência_(série)'!$A$2:$A$166,"&lt;"&amp;EDATE(A2,1))</f>
        <v>0</v>
      </c>
      <c r="W2" s="5"/>
      <c r="X2" s="5" t="s">
        <f>IF(MONTH('Previdência_(série)'!$A2)=1,'Previdência_(série)'!$W2,'Previdência_(série)'!$W2-W1)</f>
      </c>
      <c r="Y2" s="5">
        <f>SUMIFS('Previdência_(série)'!$X$2:$X$166,'Previdência_(série)'!$A$2:$A$166,"&gt;"&amp;EDATE('Previdência_(série)'!$A2,-12),'Previdência_(série)'!$A$2:$A$166,"&lt;"&amp;EDATE(A2,1))</f>
        <v>0</v>
      </c>
      <c r="Z2" s="199"/>
      <c r="AA2" s="1"/>
      <c r="AB2" s="1"/>
      <c r="AC2" s="1"/>
      <c r="AD2" s="4" t="s">
        <v>586</v>
      </c>
      <c r="AE2" s="17">
        <v>39448</v>
      </c>
      <c r="AF2" s="4">
        <v>2008</v>
      </c>
    </row>
    <row ht="13.8" outlineLevel="0" r="3">
      <c r="A3" s="17">
        <v>39479</v>
      </c>
      <c r="B3" s="5">
        <v>22508015713.69</v>
      </c>
      <c r="C3" s="5">
        <f>IF(MONTH('Previdência_(série)'!$A3)=1,'Previdência_(série)'!$B3,'Previdência_(série)'!$B3-B2)</f>
        <v>11526413279.2</v>
      </c>
      <c r="D3" s="5">
        <f>SUMIFS('Previdência_(série)'!$C$2:$C$166,'Previdência_(série)'!$A$2:$A$166,"&gt;"&amp;EDATE('Previdência_(série)'!$A3,-12),'Previdência_(série)'!$A$2:$A$166,"&lt;"&amp;EDATE(A3,1))</f>
        <v>22508015713.69</v>
      </c>
      <c r="E3" s="5">
        <v>26576327631.38</v>
      </c>
      <c r="F3" s="5">
        <f>IF(MONTH('Previdência_(série)'!$A3)=1,'Previdência_(série)'!$E3,'Previdência_(série)'!$E3-E2)</f>
        <v>10693892279.66</v>
      </c>
      <c r="G3" s="5">
        <f>SUMIFS('Previdência_(série)'!$F$2:$F$166,'Previdência_(série)'!$A$2:$A$166,"&gt;"&amp;EDATE('Previdência_(série)'!$A3,-12),'Previdência_(série)'!$A$2:$A$166,"&lt;"&amp;EDATE(A3,1))</f>
        <v>26576327631.38</v>
      </c>
      <c r="H3" s="5">
        <v>2313644871.49</v>
      </c>
      <c r="I3" s="5">
        <f>IF(MONTH('Previdência_(série)'!$A3)=1,'Previdência_(série)'!$H3,'Previdência_(série)'!$H3-H2)</f>
        <v>1287595802.77</v>
      </c>
      <c r="J3" s="5">
        <f>SUMIFS('Previdência_(série)'!$I$2:$I$166,'Previdência_(série)'!$A$2:$A$166,"&gt;"&amp;EDATE('Previdência_(série)'!$A3,-12),'Previdência_(série)'!$A$2:$A$166,"&lt;"&amp;EDATE(A3,1))</f>
        <v>2313644871.49</v>
      </c>
      <c r="K3" s="5">
        <v>5575694860.33</v>
      </c>
      <c r="L3" s="5">
        <f>IF(MONTH('Previdência_(série)'!$A3)=1,'Previdência_(série)'!$K3,'Previdência_(série)'!$K3-K2)</f>
        <v>2639989950.37</v>
      </c>
      <c r="M3" s="5">
        <f>SUMIFS('Previdência_(série)'!$L$2:$L$166,'Previdência_(série)'!$A$2:$A$166,"&gt;"&amp;EDATE('Previdência_(série)'!$A3,-12),'Previdência_(série)'!$A$2:$A$166,"&lt;"&amp;EDATE(A3,1))</f>
        <v>5575694860.33</v>
      </c>
      <c r="N3" s="5">
        <v>248931668.45</v>
      </c>
      <c r="O3" s="5">
        <f>IF(MONTH('Previdência_(série)'!$A3)=1,'Previdência_(série)'!$N3,'Previdência_(série)'!$N3-N2)</f>
        <v>139218050.35</v>
      </c>
      <c r="P3" s="5">
        <f>SUMIFS('Previdência_(série)'!$O$2:$O$166,'Previdência_(série)'!$A$2:$A$166,"&gt;"&amp;EDATE('Previdência_(série)'!$A3,-12),'Previdência_(série)'!$A$2:$A$166,"&lt;"&amp;EDATE(A3,1))</f>
        <v>248931668.45</v>
      </c>
      <c r="Q3" s="5">
        <v>2677650747.69</v>
      </c>
      <c r="R3" s="5">
        <f>IF(MONTH('Previdência_(série)'!$A3)=1,'Previdência_(série)'!$Q3,'Previdência_(série)'!$Q3-Q2)</f>
        <v>1345354309.38</v>
      </c>
      <c r="S3" s="5">
        <f>SUMIFS('Previdência_(série)'!$R$2:$R$166,'Previdência_(série)'!$A$2:$A$166,"&gt;"&amp;EDATE('Previdência_(série)'!$A3,-12),'Previdência_(série)'!$A$2:$A$166,"&lt;"&amp;EDATE(A3,1))</f>
        <v>2677650747.69</v>
      </c>
      <c r="T3" s="5"/>
      <c r="U3" s="5">
        <f>IF(MONTH('Previdência_(série)'!$A3)=1,'Previdência_(série)'!$T3,'Previdência_(série)'!$T3-T2)</f>
        <v>0</v>
      </c>
      <c r="V3" s="5">
        <f>SUMIFS('Previdência_(série)'!$U$2:$U$166,'Previdência_(série)'!$A$2:$A$166,"&gt;"&amp;EDATE('Previdência_(série)'!$A3,-12),'Previdência_(série)'!$A$2:$A$166,"&lt;"&amp;EDATE(A3,1))</f>
        <v>0</v>
      </c>
      <c r="W3" s="5"/>
      <c r="X3" s="5">
        <f>IF(MONTH('Previdência_(série)'!$A3)=1,'Previdência_(série)'!$W3,'Previdência_(série)'!$W3-W2)</f>
        <v>0</v>
      </c>
      <c r="Y3" s="5">
        <f>SUMIFS('Previdência_(série)'!$X$2:$X$166,'Previdência_(série)'!$A$2:$A$166,"&gt;"&amp;EDATE('Previdência_(série)'!$A3,-12),'Previdência_(série)'!$A$2:$A$166,"&lt;"&amp;EDATE(A3,1))</f>
        <v>0</v>
      </c>
      <c r="Z3" s="199"/>
      <c r="AA3" s="1"/>
      <c r="AB3" s="1"/>
      <c r="AC3" s="1"/>
      <c r="AD3" s="4" t="s">
        <v>587</v>
      </c>
      <c r="AE3" s="17">
        <v>39479</v>
      </c>
      <c r="AF3" s="4">
        <v>2008</v>
      </c>
    </row>
    <row ht="13.8" outlineLevel="0" r="4">
      <c r="A4" s="17">
        <v>39508</v>
      </c>
      <c r="B4" s="5">
        <v>35164847800.74</v>
      </c>
      <c r="C4" s="5">
        <f>IF(MONTH('Previdência_(série)'!$A4)=1,'Previdência_(série)'!$B4,'Previdência_(série)'!$B4-B3)</f>
        <v>12656832087.05</v>
      </c>
      <c r="D4" s="5">
        <f>SUMIFS('Previdência_(série)'!$C$2:$C$166,'Previdência_(série)'!$A$2:$A$166,"&gt;"&amp;EDATE('Previdência_(série)'!$A4,-12),'Previdência_(série)'!$A$2:$A$166,"&lt;"&amp;EDATE(A4,1))</f>
        <v>35164847800.74</v>
      </c>
      <c r="E4" s="5">
        <v>44412223476.19</v>
      </c>
      <c r="F4" s="5">
        <f>IF(MONTH('Previdência_(série)'!$A4)=1,'Previdência_(série)'!$E4,'Previdência_(série)'!$E4-E3)</f>
        <v>17835895844.81</v>
      </c>
      <c r="G4" s="5">
        <f>SUMIFS('Previdência_(série)'!$F$2:$F$166,'Previdência_(série)'!$A$2:$A$166,"&gt;"&amp;EDATE('Previdência_(série)'!$A4,-12),'Previdência_(série)'!$A$2:$A$166,"&lt;"&amp;EDATE(A4,1))</f>
        <v>44412223476.19</v>
      </c>
      <c r="H4" s="5">
        <v>3386853519.14</v>
      </c>
      <c r="I4" s="5">
        <f>IF(MONTH('Previdência_(série)'!$A4)=1,'Previdência_(série)'!$H4,'Previdência_(série)'!$H4-H3)</f>
        <v>1073208647.65</v>
      </c>
      <c r="J4" s="5">
        <f>SUMIFS('Previdência_(série)'!$I$2:$I$166,'Previdência_(série)'!$A$2:$A$166,"&gt;"&amp;EDATE('Previdência_(série)'!$A4,-12),'Previdência_(série)'!$A$2:$A$166,"&lt;"&amp;EDATE(A4,1))</f>
        <v>3386853519.14</v>
      </c>
      <c r="K4" s="5">
        <v>8307793159.55</v>
      </c>
      <c r="L4" s="5">
        <f>IF(MONTH('Previdência_(série)'!$A4)=1,'Previdência_(série)'!$K4,'Previdência_(série)'!$K4-K3)</f>
        <v>2732098299.22</v>
      </c>
      <c r="M4" s="5">
        <f>SUMIFS('Previdência_(série)'!$L$2:$L$166,'Previdência_(série)'!$A$2:$A$166,"&gt;"&amp;EDATE('Previdência_(série)'!$A4,-12),'Previdência_(série)'!$A$2:$A$166,"&lt;"&amp;EDATE(A4,1))</f>
        <v>8307793159.55</v>
      </c>
      <c r="N4" s="5">
        <v>331351897.42</v>
      </c>
      <c r="O4" s="5">
        <f>IF(MONTH('Previdência_(série)'!$A4)=1,'Previdência_(série)'!$N4,'Previdência_(série)'!$N4-N3)</f>
        <v>82420228.9699999</v>
      </c>
      <c r="P4" s="5">
        <f>SUMIFS('Previdência_(série)'!$O$2:$O$166,'Previdência_(série)'!$A$2:$A$166,"&gt;"&amp;EDATE('Previdência_(série)'!$A4,-12),'Previdência_(série)'!$A$2:$A$166,"&lt;"&amp;EDATE(A4,1))</f>
        <v>331351897.42</v>
      </c>
      <c r="Q4" s="5">
        <v>4074840704.66</v>
      </c>
      <c r="R4" s="5">
        <f>IF(MONTH('Previdência_(série)'!$A4)=1,'Previdência_(série)'!$Q4,'Previdência_(série)'!$Q4-Q3)</f>
        <v>1397189956.97</v>
      </c>
      <c r="S4" s="5">
        <f>SUMIFS('Previdência_(série)'!$R$2:$R$166,'Previdência_(série)'!$A$2:$A$166,"&gt;"&amp;EDATE('Previdência_(série)'!$A4,-12),'Previdência_(série)'!$A$2:$A$166,"&lt;"&amp;EDATE(A4,1))</f>
        <v>4074840704.66</v>
      </c>
      <c r="T4" s="5"/>
      <c r="U4" s="5">
        <f>IF(MONTH('Previdência_(série)'!$A4)=1,'Previdência_(série)'!$T4,'Previdência_(série)'!$T4-T3)</f>
        <v>0</v>
      </c>
      <c r="V4" s="5">
        <f>SUMIFS('Previdência_(série)'!$U$2:$U$166,'Previdência_(série)'!$A$2:$A$166,"&gt;"&amp;EDATE('Previdência_(série)'!$A4,-12),'Previdência_(série)'!$A$2:$A$166,"&lt;"&amp;EDATE(A4,1))</f>
        <v>0</v>
      </c>
      <c r="W4" s="5"/>
      <c r="X4" s="5">
        <f>IF(MONTH('Previdência_(série)'!$A4)=1,'Previdência_(série)'!$W4,'Previdência_(série)'!$W4-W3)</f>
        <v>0</v>
      </c>
      <c r="Y4" s="5">
        <f>SUMIFS('Previdência_(série)'!$X$2:$X$166,'Previdência_(série)'!$A$2:$A$166,"&gt;"&amp;EDATE('Previdência_(série)'!$A4,-12),'Previdência_(série)'!$A$2:$A$166,"&lt;"&amp;EDATE(A4,1))</f>
        <v>0</v>
      </c>
      <c r="Z4" s="199"/>
      <c r="AA4" s="1"/>
      <c r="AB4" s="1"/>
      <c r="AC4" s="1"/>
      <c r="AD4" s="4" t="s">
        <v>588</v>
      </c>
      <c r="AE4" s="17">
        <v>39508</v>
      </c>
      <c r="AF4" s="4">
        <v>2008</v>
      </c>
    </row>
    <row ht="13.8" outlineLevel="0" r="5">
      <c r="A5" s="17">
        <v>39539</v>
      </c>
      <c r="B5" s="5">
        <v>47815880486.31</v>
      </c>
      <c r="C5" s="5">
        <f>IF(MONTH('Previdência_(série)'!$A5)=1,'Previdência_(série)'!$B5,'Previdência_(série)'!$B5-B4)</f>
        <v>12651032685.57</v>
      </c>
      <c r="D5" s="5">
        <f>SUMIFS('Previdência_(série)'!$C$2:$C$166,'Previdência_(série)'!$A$2:$A$166,"&gt;"&amp;EDATE('Previdência_(série)'!$A5,-12),'Previdência_(série)'!$A$2:$A$166,"&lt;"&amp;EDATE(A5,1))</f>
        <v>47815880486.31</v>
      </c>
      <c r="E5" s="5">
        <v>59506346064.36</v>
      </c>
      <c r="F5" s="5">
        <f>IF(MONTH('Previdência_(série)'!$A5)=1,'Previdência_(série)'!$E5,'Previdência_(série)'!$E5-E4)</f>
        <v>15094122588.17</v>
      </c>
      <c r="G5" s="5">
        <f>SUMIFS('Previdência_(série)'!$F$2:$F$166,'Previdência_(série)'!$A$2:$A$166,"&gt;"&amp;EDATE('Previdência_(série)'!$A5,-12),'Previdência_(série)'!$A$2:$A$166,"&lt;"&amp;EDATE(A5,1))</f>
        <v>59506346064.36</v>
      </c>
      <c r="H5" s="5">
        <v>4439012765.95</v>
      </c>
      <c r="I5" s="5">
        <f>IF(MONTH('Previdência_(série)'!$A5)=1,'Previdência_(série)'!$H5,'Previdência_(série)'!$H5-H4)</f>
        <v>1052159246.81</v>
      </c>
      <c r="J5" s="5">
        <f>SUMIFS('Previdência_(série)'!$I$2:$I$166,'Previdência_(série)'!$A$2:$A$166,"&gt;"&amp;EDATE('Previdência_(série)'!$A5,-12),'Previdência_(série)'!$A$2:$A$166,"&lt;"&amp;EDATE(A5,1))</f>
        <v>4439012765.95</v>
      </c>
      <c r="K5" s="5">
        <v>11020596950.89</v>
      </c>
      <c r="L5" s="5">
        <f>IF(MONTH('Previdência_(série)'!$A5)=1,'Previdência_(série)'!$K5,'Previdência_(série)'!$K5-K4)</f>
        <v>2712803791.34</v>
      </c>
      <c r="M5" s="5">
        <f>SUMIFS('Previdência_(série)'!$L$2:$L$166,'Previdência_(série)'!$A$2:$A$166,"&gt;"&amp;EDATE('Previdência_(série)'!$A5,-12),'Previdência_(série)'!$A$2:$A$166,"&lt;"&amp;EDATE(A5,1))</f>
        <v>11020596950.89</v>
      </c>
      <c r="N5" s="5">
        <v>472149836.87</v>
      </c>
      <c r="O5" s="5">
        <f>IF(MONTH('Previdência_(série)'!$A5)=1,'Previdência_(série)'!$N5,'Previdência_(série)'!$N5-N4)</f>
        <v>140797939.45</v>
      </c>
      <c r="P5" s="5">
        <f>SUMIFS('Previdência_(série)'!$O$2:$O$166,'Previdência_(série)'!$A$2:$A$166,"&gt;"&amp;EDATE('Previdência_(série)'!$A5,-12),'Previdência_(série)'!$A$2:$A$166,"&lt;"&amp;EDATE(A5,1))</f>
        <v>472149836.87</v>
      </c>
      <c r="Q5" s="5">
        <v>5477024424.9</v>
      </c>
      <c r="R5" s="5">
        <f>IF(MONTH('Previdência_(série)'!$A5)=1,'Previdência_(série)'!$Q5,'Previdência_(série)'!$Q5-Q4)</f>
        <v>1402183720.24</v>
      </c>
      <c r="S5" s="5">
        <f>SUMIFS('Previdência_(série)'!$R$2:$R$166,'Previdência_(série)'!$A$2:$A$166,"&gt;"&amp;EDATE('Previdência_(série)'!$A5,-12),'Previdência_(série)'!$A$2:$A$166,"&lt;"&amp;EDATE(A5,1))</f>
        <v>5477024424.9</v>
      </c>
      <c r="T5" s="5"/>
      <c r="U5" s="5">
        <f>IF(MONTH('Previdência_(série)'!$A5)=1,'Previdência_(série)'!$T5,'Previdência_(série)'!$T5-T4)</f>
        <v>0</v>
      </c>
      <c r="V5" s="5">
        <f>SUMIFS('Previdência_(série)'!$U$2:$U$166,'Previdência_(série)'!$A$2:$A$166,"&gt;"&amp;EDATE('Previdência_(série)'!$A5,-12),'Previdência_(série)'!$A$2:$A$166,"&lt;"&amp;EDATE(A5,1))</f>
        <v>0</v>
      </c>
      <c r="W5" s="5"/>
      <c r="X5" s="5">
        <f>IF(MONTH('Previdência_(série)'!$A5)=1,'Previdência_(série)'!$W5,'Previdência_(série)'!$W5-W4)</f>
        <v>0</v>
      </c>
      <c r="Y5" s="5">
        <f>SUMIFS('Previdência_(série)'!$X$2:$X$166,'Previdência_(série)'!$A$2:$A$166,"&gt;"&amp;EDATE('Previdência_(série)'!$A5,-12),'Previdência_(série)'!$A$2:$A$166,"&lt;"&amp;EDATE(A5,1))</f>
        <v>0</v>
      </c>
      <c r="Z5" s="199"/>
      <c r="AA5" s="1"/>
      <c r="AB5" s="1"/>
      <c r="AC5" s="1"/>
      <c r="AD5" s="4" t="s">
        <v>589</v>
      </c>
      <c r="AE5" s="17">
        <v>39539</v>
      </c>
      <c r="AF5" s="4">
        <v>2008</v>
      </c>
    </row>
    <row ht="13.8" outlineLevel="0" r="6">
      <c r="A6" s="17">
        <v>39569</v>
      </c>
      <c r="B6" s="5">
        <v>60539670496.21</v>
      </c>
      <c r="C6" s="5">
        <f>IF(MONTH('Previdência_(série)'!$A6)=1,'Previdência_(série)'!$B6,'Previdência_(série)'!$B6-B5)</f>
        <v>12723790009.9</v>
      </c>
      <c r="D6" s="5">
        <f>SUMIFS('Previdência_(série)'!$C$2:$C$166,'Previdência_(série)'!$A$2:$A$166,"&gt;"&amp;EDATE('Previdência_(série)'!$A6,-12),'Previdência_(série)'!$A$2:$A$166,"&lt;"&amp;EDATE(A6,1))</f>
        <v>60539670496.21</v>
      </c>
      <c r="E6" s="5">
        <v>74714965112.8</v>
      </c>
      <c r="F6" s="5">
        <f>IF(MONTH('Previdência_(série)'!$A6)=1,'Previdência_(série)'!$E6,'Previdência_(série)'!$E6-E5)</f>
        <v>15208619048.44</v>
      </c>
      <c r="G6" s="5">
        <f>SUMIFS('Previdência_(série)'!$F$2:$F$166,'Previdência_(série)'!$A$2:$A$166,"&gt;"&amp;EDATE('Previdência_(série)'!$A6,-12),'Previdência_(série)'!$A$2:$A$166,"&lt;"&amp;EDATE(A6,1))</f>
        <v>74714965112.8</v>
      </c>
      <c r="H6" s="5">
        <v>5564704099.39</v>
      </c>
      <c r="I6" s="5">
        <f>IF(MONTH('Previdência_(série)'!$A6)=1,'Previdência_(série)'!$H6,'Previdência_(série)'!$H6-H5)</f>
        <v>1125691333.44</v>
      </c>
      <c r="J6" s="5">
        <f>SUMIFS('Previdência_(série)'!$I$2:$I$166,'Previdência_(série)'!$A$2:$A$166,"&gt;"&amp;EDATE('Previdência_(série)'!$A6,-12),'Previdência_(série)'!$A$2:$A$166,"&lt;"&amp;EDATE(A6,1))</f>
        <v>5564704099.39</v>
      </c>
      <c r="K6" s="5">
        <v>13609516823.76</v>
      </c>
      <c r="L6" s="5">
        <f>IF(MONTH('Previdência_(série)'!$A6)=1,'Previdência_(série)'!$K6,'Previdência_(série)'!$K6-K5)</f>
        <v>2588919872.87</v>
      </c>
      <c r="M6" s="5">
        <f>SUMIFS('Previdência_(série)'!$L$2:$L$166,'Previdência_(série)'!$A$2:$A$166,"&gt;"&amp;EDATE('Previdência_(série)'!$A6,-12),'Previdência_(série)'!$A$2:$A$166,"&lt;"&amp;EDATE(A6,1))</f>
        <v>13609516823.76</v>
      </c>
      <c r="N6" s="5">
        <v>596157422.9</v>
      </c>
      <c r="O6" s="5">
        <f>IF(MONTH('Previdência_(série)'!$A6)=1,'Previdência_(série)'!$N6,'Previdência_(série)'!$N6-N5)</f>
        <v>124007586.03</v>
      </c>
      <c r="P6" s="5">
        <f>SUMIFS('Previdência_(série)'!$O$2:$O$166,'Previdência_(série)'!$A$2:$A$166,"&gt;"&amp;EDATE('Previdência_(série)'!$A6,-12),'Previdência_(série)'!$A$2:$A$166,"&lt;"&amp;EDATE(A6,1))</f>
        <v>596157422.9</v>
      </c>
      <c r="Q6" s="5">
        <v>7479351646.14</v>
      </c>
      <c r="R6" s="5">
        <f>IF(MONTH('Previdência_(série)'!$A6)=1,'Previdência_(série)'!$Q6,'Previdência_(série)'!$Q6-Q5)</f>
        <v>2002327221.24</v>
      </c>
      <c r="S6" s="5">
        <f>SUMIFS('Previdência_(série)'!$R$2:$R$166,'Previdência_(série)'!$A$2:$A$166,"&gt;"&amp;EDATE('Previdência_(série)'!$A6,-12),'Previdência_(série)'!$A$2:$A$166,"&lt;"&amp;EDATE(A6,1))</f>
        <v>7479351646.14</v>
      </c>
      <c r="T6" s="5"/>
      <c r="U6" s="5">
        <f>IF(MONTH('Previdência_(série)'!$A6)=1,'Previdência_(série)'!$T6,'Previdência_(série)'!$T6-T5)</f>
        <v>0</v>
      </c>
      <c r="V6" s="5">
        <f>SUMIFS('Previdência_(série)'!$U$2:$U$166,'Previdência_(série)'!$A$2:$A$166,"&gt;"&amp;EDATE('Previdência_(série)'!$A6,-12),'Previdência_(série)'!$A$2:$A$166,"&lt;"&amp;EDATE(A6,1))</f>
        <v>0</v>
      </c>
      <c r="W6" s="5"/>
      <c r="X6" s="5">
        <f>IF(MONTH('Previdência_(série)'!$A6)=1,'Previdência_(série)'!$W6,'Previdência_(série)'!$W6-W5)</f>
        <v>0</v>
      </c>
      <c r="Y6" s="5">
        <f>SUMIFS('Previdência_(série)'!$X$2:$X$166,'Previdência_(série)'!$A$2:$A$166,"&gt;"&amp;EDATE('Previdência_(série)'!$A6,-12),'Previdência_(série)'!$A$2:$A$166,"&lt;"&amp;EDATE(A6,1))</f>
        <v>0</v>
      </c>
      <c r="Z6" s="199"/>
      <c r="AA6" s="1"/>
      <c r="AB6" s="1"/>
      <c r="AC6" s="1"/>
      <c r="AD6" s="4" t="s">
        <v>590</v>
      </c>
      <c r="AE6" s="17">
        <v>39569</v>
      </c>
      <c r="AF6" s="4">
        <v>2008</v>
      </c>
    </row>
    <row ht="13.8" outlineLevel="0" r="7">
      <c r="A7" s="17">
        <v>39600</v>
      </c>
      <c r="B7" s="5">
        <v>73494490029.44</v>
      </c>
      <c r="C7" s="5">
        <f>IF(MONTH('Previdência_(série)'!$A7)=1,'Previdência_(série)'!$B7,'Previdência_(série)'!$B7-B6)</f>
        <v>12954819533.23</v>
      </c>
      <c r="D7" s="5">
        <f>SUMIFS('Previdência_(série)'!$C$2:$C$166,'Previdência_(série)'!$A$2:$A$166,"&gt;"&amp;EDATE('Previdência_(série)'!$A7,-12),'Previdência_(série)'!$A$2:$A$166,"&lt;"&amp;EDATE(A7,1))</f>
        <v>73494490029.44</v>
      </c>
      <c r="E7" s="5">
        <v>89903446863.67</v>
      </c>
      <c r="F7" s="5">
        <f>IF(MONTH('Previdência_(série)'!$A7)=1,'Previdência_(série)'!$E7,'Previdência_(série)'!$E7-E6)</f>
        <v>15188481750.87</v>
      </c>
      <c r="G7" s="5">
        <f>SUMIFS('Previdência_(série)'!$F$2:$F$166,'Previdência_(série)'!$A$2:$A$166,"&gt;"&amp;EDATE('Previdência_(série)'!$A7,-12),'Previdência_(série)'!$A$2:$A$166,"&lt;"&amp;EDATE(A7,1))</f>
        <v>89903446863.67</v>
      </c>
      <c r="H7" s="5">
        <v>6700872434.2</v>
      </c>
      <c r="I7" s="5">
        <f>IF(MONTH('Previdência_(série)'!$A7)=1,'Previdência_(série)'!$H7,'Previdência_(série)'!$H7-H6)</f>
        <v>1136168334.81</v>
      </c>
      <c r="J7" s="5">
        <f>SUMIFS('Previdência_(série)'!$I$2:$I$166,'Previdência_(série)'!$A$2:$A$166,"&gt;"&amp;EDATE('Previdência_(série)'!$A7,-12),'Previdência_(série)'!$A$2:$A$166,"&lt;"&amp;EDATE(A7,1))</f>
        <v>6700872434.2</v>
      </c>
      <c r="K7" s="5">
        <v>17839423243.34</v>
      </c>
      <c r="L7" s="5">
        <f>IF(MONTH('Previdência_(série)'!$A7)=1,'Previdência_(série)'!$K7,'Previdência_(série)'!$K7-K6)</f>
        <v>4229906419.58</v>
      </c>
      <c r="M7" s="5">
        <f>SUMIFS('Previdência_(série)'!$L$2:$L$166,'Previdência_(série)'!$A$2:$A$166,"&gt;"&amp;EDATE('Previdência_(série)'!$A7,-12),'Previdência_(série)'!$A$2:$A$166,"&lt;"&amp;EDATE(A7,1))</f>
        <v>17839423243.34</v>
      </c>
      <c r="N7" s="5">
        <v>699778104.19</v>
      </c>
      <c r="O7" s="5">
        <f>IF(MONTH('Previdência_(série)'!$A7)=1,'Previdência_(série)'!$N7,'Previdência_(série)'!$N7-N6)</f>
        <v>103620681.29</v>
      </c>
      <c r="P7" s="5">
        <f>SUMIFS('Previdência_(série)'!$O$2:$O$166,'Previdência_(série)'!$A$2:$A$166,"&gt;"&amp;EDATE('Previdência_(série)'!$A7,-12),'Previdência_(série)'!$A$2:$A$166,"&lt;"&amp;EDATE(A7,1))</f>
        <v>699778104.19</v>
      </c>
      <c r="Q7" s="5">
        <v>9693781420.37</v>
      </c>
      <c r="R7" s="5">
        <f>IF(MONTH('Previdência_(série)'!$A7)=1,'Previdência_(série)'!$Q7,'Previdência_(série)'!$Q7-Q6)</f>
        <v>2214429774.23</v>
      </c>
      <c r="S7" s="5">
        <f>SUMIFS('Previdência_(série)'!$R$2:$R$166,'Previdência_(série)'!$A$2:$A$166,"&gt;"&amp;EDATE('Previdência_(série)'!$A7,-12),'Previdência_(série)'!$A$2:$A$166,"&lt;"&amp;EDATE(A7,1))</f>
        <v>9693781420.37</v>
      </c>
      <c r="T7" s="5"/>
      <c r="U7" s="5">
        <f>IF(MONTH('Previdência_(série)'!$A7)=1,'Previdência_(série)'!$T7,'Previdência_(série)'!$T7-T6)</f>
        <v>0</v>
      </c>
      <c r="V7" s="5">
        <f>SUMIFS('Previdência_(série)'!$U$2:$U$166,'Previdência_(série)'!$A$2:$A$166,"&gt;"&amp;EDATE('Previdência_(série)'!$A7,-12),'Previdência_(série)'!$A$2:$A$166,"&lt;"&amp;EDATE(A7,1))</f>
        <v>0</v>
      </c>
      <c r="W7" s="5"/>
      <c r="X7" s="5">
        <f>IF(MONTH('Previdência_(série)'!$A7)=1,'Previdência_(série)'!$W7,'Previdência_(série)'!$W7-W6)</f>
        <v>0</v>
      </c>
      <c r="Y7" s="5">
        <f>SUMIFS('Previdência_(série)'!$X$2:$X$166,'Previdência_(série)'!$A$2:$A$166,"&gt;"&amp;EDATE('Previdência_(série)'!$A7,-12),'Previdência_(série)'!$A$2:$A$166,"&lt;"&amp;EDATE(A7,1))</f>
        <v>0</v>
      </c>
      <c r="Z7" s="199"/>
      <c r="AA7" s="1"/>
      <c r="AB7" s="1"/>
      <c r="AC7" s="1"/>
      <c r="AD7" s="4" t="s">
        <v>591</v>
      </c>
      <c r="AE7" s="17">
        <v>39600</v>
      </c>
      <c r="AF7" s="4">
        <v>2008</v>
      </c>
    </row>
    <row ht="13.8" outlineLevel="0" r="8">
      <c r="A8" s="17">
        <v>39630</v>
      </c>
      <c r="B8" s="5">
        <v>86747258762.92</v>
      </c>
      <c r="C8" s="5">
        <f>IF(MONTH('Previdência_(série)'!$A8)=1,'Previdência_(série)'!$B8,'Previdência_(série)'!$B8-B7)</f>
        <v>13252768733.48</v>
      </c>
      <c r="D8" s="5">
        <f>SUMIFS('Previdência_(série)'!$C$2:$C$166,'Previdência_(série)'!$A$2:$A$166,"&gt;"&amp;EDATE('Previdência_(série)'!$A8,-12),'Previdência_(série)'!$A$2:$A$166,"&lt;"&amp;EDATE(A8,1))</f>
        <v>86747258762.92</v>
      </c>
      <c r="E8" s="5">
        <v>104766826467.29</v>
      </c>
      <c r="F8" s="5">
        <f>IF(MONTH('Previdência_(série)'!$A8)=1,'Previdência_(série)'!$E8,'Previdência_(série)'!$E8-E7)</f>
        <v>14863379603.62</v>
      </c>
      <c r="G8" s="5">
        <f>SUMIFS('Previdência_(série)'!$F$2:$F$166,'Previdência_(série)'!$A$2:$A$166,"&gt;"&amp;EDATE('Previdência_(série)'!$A8,-12),'Previdência_(série)'!$A$2:$A$166,"&lt;"&amp;EDATE(A8,1))</f>
        <v>104766826467.29</v>
      </c>
      <c r="H8" s="5">
        <v>7993745044.1</v>
      </c>
      <c r="I8" s="5">
        <f>IF(MONTH('Previdência_(série)'!$A8)=1,'Previdência_(série)'!$H8,'Previdência_(série)'!$H8-H7)</f>
        <v>1292872609.9</v>
      </c>
      <c r="J8" s="5">
        <f>SUMIFS('Previdência_(série)'!$I$2:$I$166,'Previdência_(série)'!$A$2:$A$166,"&gt;"&amp;EDATE('Previdência_(série)'!$A8,-12),'Previdência_(série)'!$A$2:$A$166,"&lt;"&amp;EDATE(A8,1))</f>
        <v>7993745044.1</v>
      </c>
      <c r="K8" s="5">
        <v>20787694008.33</v>
      </c>
      <c r="L8" s="5">
        <f>IF(MONTH('Previdência_(série)'!$A8)=1,'Previdência_(série)'!$K8,'Previdência_(série)'!$K8-K7)</f>
        <v>2948270764.99</v>
      </c>
      <c r="M8" s="5">
        <f>SUMIFS('Previdência_(série)'!$L$2:$L$166,'Previdência_(série)'!$A$2:$A$166,"&gt;"&amp;EDATE('Previdência_(série)'!$A8,-12),'Previdência_(série)'!$A$2:$A$166,"&lt;"&amp;EDATE(A8,1))</f>
        <v>20787694008.33</v>
      </c>
      <c r="N8" s="5">
        <v>889681143.57</v>
      </c>
      <c r="O8" s="5">
        <f>IF(MONTH('Previdência_(série)'!$A8)=1,'Previdência_(série)'!$N8,'Previdência_(série)'!$N8-N7)</f>
        <v>189903039.38</v>
      </c>
      <c r="P8" s="5">
        <f>SUMIFS('Previdência_(série)'!$O$2:$O$166,'Previdência_(série)'!$A$2:$A$166,"&gt;"&amp;EDATE('Previdência_(série)'!$A8,-12),'Previdência_(série)'!$A$2:$A$166,"&lt;"&amp;EDATE(A8,1))</f>
        <v>889681143.57</v>
      </c>
      <c r="Q8" s="5">
        <v>11254030927.21</v>
      </c>
      <c r="R8" s="5">
        <f>IF(MONTH('Previdência_(série)'!$A8)=1,'Previdência_(série)'!$Q8,'Previdência_(série)'!$Q8-Q7)</f>
        <v>1560249506.84</v>
      </c>
      <c r="S8" s="5">
        <f>SUMIFS('Previdência_(série)'!$R$2:$R$166,'Previdência_(série)'!$A$2:$A$166,"&gt;"&amp;EDATE('Previdência_(série)'!$A8,-12),'Previdência_(série)'!$A$2:$A$166,"&lt;"&amp;EDATE(A8,1))</f>
        <v>11254030927.21</v>
      </c>
      <c r="T8" s="5"/>
      <c r="U8" s="5">
        <f>IF(MONTH('Previdência_(série)'!$A8)=1,'Previdência_(série)'!$T8,'Previdência_(série)'!$T8-T7)</f>
        <v>0</v>
      </c>
      <c r="V8" s="5">
        <f>SUMIFS('Previdência_(série)'!$U$2:$U$166,'Previdência_(série)'!$A$2:$A$166,"&gt;"&amp;EDATE('Previdência_(série)'!$A8,-12),'Previdência_(série)'!$A$2:$A$166,"&lt;"&amp;EDATE(A8,1))</f>
        <v>0</v>
      </c>
      <c r="W8" s="5"/>
      <c r="X8" s="5">
        <f>IF(MONTH('Previdência_(série)'!$A8)=1,'Previdência_(série)'!$W8,'Previdência_(série)'!$W8-W7)</f>
        <v>0</v>
      </c>
      <c r="Y8" s="5">
        <f>SUMIFS('Previdência_(série)'!$X$2:$X$166,'Previdência_(série)'!$A$2:$A$166,"&gt;"&amp;EDATE('Previdência_(série)'!$A8,-12),'Previdência_(série)'!$A$2:$A$166,"&lt;"&amp;EDATE(A8,1))</f>
        <v>0</v>
      </c>
      <c r="Z8" s="199"/>
      <c r="AA8" s="1"/>
      <c r="AB8" s="1"/>
      <c r="AC8" s="1"/>
      <c r="AD8" s="4" t="s">
        <v>592</v>
      </c>
      <c r="AE8" s="17">
        <v>39630</v>
      </c>
      <c r="AF8" s="4">
        <v>2008</v>
      </c>
    </row>
    <row ht="13.8" outlineLevel="0" r="9">
      <c r="A9" s="17">
        <v>39661</v>
      </c>
      <c r="B9" s="5">
        <v>100018943944.13</v>
      </c>
      <c r="C9" s="5">
        <f>IF(MONTH('Previdência_(série)'!$A9)=1,'Previdência_(série)'!$B9,'Previdência_(série)'!$B9-B8)</f>
        <v>13271685181.21</v>
      </c>
      <c r="D9" s="5">
        <f>SUMIFS('Previdência_(série)'!$C$2:$C$166,'Previdência_(série)'!$A$2:$A$166,"&gt;"&amp;EDATE('Previdência_(série)'!$A9,-12),'Previdência_(série)'!$A$2:$A$166,"&lt;"&amp;EDATE(A9,1))</f>
        <v>100018943944.13</v>
      </c>
      <c r="E9" s="5">
        <v>130053428600.21</v>
      </c>
      <c r="F9" s="5">
        <f>IF(MONTH('Previdência_(série)'!$A9)=1,'Previdência_(série)'!$E9,'Previdência_(série)'!$E9-E8)</f>
        <v>25286602132.92</v>
      </c>
      <c r="G9" s="5">
        <f>SUMIFS('Previdência_(série)'!$F$2:$F$166,'Previdência_(série)'!$A$2:$A$166,"&gt;"&amp;EDATE('Previdência_(série)'!$A9,-12),'Previdência_(série)'!$A$2:$A$166,"&lt;"&amp;EDATE(A9,1))</f>
        <v>130053428600.21</v>
      </c>
      <c r="H9" s="5">
        <v>9168753949.36</v>
      </c>
      <c r="I9" s="5">
        <f>IF(MONTH('Previdência_(série)'!$A9)=1,'Previdência_(série)'!$H9,'Previdência_(série)'!$H9-H8)</f>
        <v>1175008905.26</v>
      </c>
      <c r="J9" s="5">
        <f>SUMIFS('Previdência_(série)'!$I$2:$I$166,'Previdência_(série)'!$A$2:$A$166,"&gt;"&amp;EDATE('Previdência_(série)'!$A9,-12),'Previdência_(série)'!$A$2:$A$166,"&lt;"&amp;EDATE(A9,1))</f>
        <v>9168753949.36</v>
      </c>
      <c r="K9" s="5">
        <v>23704651490.03</v>
      </c>
      <c r="L9" s="5">
        <f>IF(MONTH('Previdência_(série)'!$A9)=1,'Previdência_(série)'!$K9,'Previdência_(série)'!$K9-K8)</f>
        <v>2916957481.7</v>
      </c>
      <c r="M9" s="5">
        <f>SUMIFS('Previdência_(série)'!$L$2:$L$166,'Previdência_(série)'!$A$2:$A$166,"&gt;"&amp;EDATE('Previdência_(série)'!$A9,-12),'Previdência_(série)'!$A$2:$A$166,"&lt;"&amp;EDATE(A9,1))</f>
        <v>23704651490.03</v>
      </c>
      <c r="N9" s="5">
        <v>984636988.04</v>
      </c>
      <c r="O9" s="5">
        <f>IF(MONTH('Previdência_(série)'!$A9)=1,'Previdência_(série)'!$N9,'Previdência_(série)'!$N9-N8)</f>
        <v>94955844.4699999</v>
      </c>
      <c r="P9" s="5">
        <f>SUMIFS('Previdência_(série)'!$O$2:$O$166,'Previdência_(série)'!$A$2:$A$166,"&gt;"&amp;EDATE('Previdência_(série)'!$A9,-12),'Previdência_(série)'!$A$2:$A$166,"&lt;"&amp;EDATE(A9,1))</f>
        <v>984636988.04</v>
      </c>
      <c r="Q9" s="5">
        <v>12806636550.34</v>
      </c>
      <c r="R9" s="5">
        <f>IF(MONTH('Previdência_(série)'!$A9)=1,'Previdência_(série)'!$Q9,'Previdência_(série)'!$Q9-Q8)</f>
        <v>1552605623.13</v>
      </c>
      <c r="S9" s="5">
        <f>SUMIFS('Previdência_(série)'!$R$2:$R$166,'Previdência_(série)'!$A$2:$A$166,"&gt;"&amp;EDATE('Previdência_(série)'!$A9,-12),'Previdência_(série)'!$A$2:$A$166,"&lt;"&amp;EDATE(A9,1))</f>
        <v>12806636550.34</v>
      </c>
      <c r="T9" s="5"/>
      <c r="U9" s="5">
        <f>IF(MONTH('Previdência_(série)'!$A9)=1,'Previdência_(série)'!$T9,'Previdência_(série)'!$T9-T8)</f>
        <v>0</v>
      </c>
      <c r="V9" s="5">
        <f>SUMIFS('Previdência_(série)'!$U$2:$U$166,'Previdência_(série)'!$A$2:$A$166,"&gt;"&amp;EDATE('Previdência_(série)'!$A9,-12),'Previdência_(série)'!$A$2:$A$166,"&lt;"&amp;EDATE(A9,1))</f>
        <v>0</v>
      </c>
      <c r="W9" s="5"/>
      <c r="X9" s="5">
        <f>IF(MONTH('Previdência_(série)'!$A9)=1,'Previdência_(série)'!$W9,'Previdência_(série)'!$W9-W8)</f>
        <v>0</v>
      </c>
      <c r="Y9" s="5">
        <f>SUMIFS('Previdência_(série)'!$X$2:$X$166,'Previdência_(série)'!$A$2:$A$166,"&gt;"&amp;EDATE('Previdência_(série)'!$A9,-12),'Previdência_(série)'!$A$2:$A$166,"&lt;"&amp;EDATE(A9,1))</f>
        <v>0</v>
      </c>
      <c r="Z9" s="199"/>
      <c r="AA9" s="1"/>
      <c r="AB9" s="1"/>
      <c r="AC9" s="1"/>
      <c r="AD9" s="4" t="s">
        <v>593</v>
      </c>
      <c r="AE9" s="17">
        <v>39661</v>
      </c>
      <c r="AF9" s="4">
        <v>2008</v>
      </c>
    </row>
    <row ht="13.8" outlineLevel="0" r="10">
      <c r="A10" s="17">
        <v>39692</v>
      </c>
      <c r="B10" s="5">
        <v>113442274669.39</v>
      </c>
      <c r="C10" s="5">
        <f>IF(MONTH('Previdência_(série)'!$A10)=1,'Previdência_(série)'!$B10,'Previdência_(série)'!$B10-B9)</f>
        <v>13423330725.26</v>
      </c>
      <c r="D10" s="5">
        <f>SUMIFS('Previdência_(série)'!$C$2:$C$166,'Previdência_(série)'!$A$2:$A$166,"&gt;"&amp;EDATE('Previdência_(série)'!$A10,-12),'Previdência_(série)'!$A$2:$A$166,"&lt;"&amp;EDATE(A10,1))</f>
        <v>113442274669.39</v>
      </c>
      <c r="E10" s="5">
        <v>144491091748.38</v>
      </c>
      <c r="F10" s="5">
        <f>IF(MONTH('Previdência_(série)'!$A10)=1,'Previdência_(série)'!$E10,'Previdência_(série)'!$E10-E9)</f>
        <v>14437663148.17</v>
      </c>
      <c r="G10" s="5">
        <f>SUMIFS('Previdência_(série)'!$F$2:$F$166,'Previdência_(série)'!$A$2:$A$166,"&gt;"&amp;EDATE('Previdência_(série)'!$A10,-12),'Previdência_(série)'!$A$2:$A$166,"&lt;"&amp;EDATE(A10,1))</f>
        <v>144491091748.38</v>
      </c>
      <c r="H10" s="5">
        <v>10341618402.58</v>
      </c>
      <c r="I10" s="5">
        <f>IF(MONTH('Previdência_(série)'!$A10)=1,'Previdência_(série)'!$H10,'Previdência_(série)'!$H10-H9)</f>
        <v>1172864453.22</v>
      </c>
      <c r="J10" s="5">
        <f>SUMIFS('Previdência_(série)'!$I$2:$I$166,'Previdência_(série)'!$A$2:$A$166,"&gt;"&amp;EDATE('Previdência_(série)'!$A10,-12),'Previdência_(série)'!$A$2:$A$166,"&lt;"&amp;EDATE(A10,1))</f>
        <v>10341618402.58</v>
      </c>
      <c r="K10" s="5">
        <v>26822613858.73</v>
      </c>
      <c r="L10" s="5">
        <f>IF(MONTH('Previdência_(série)'!$A10)=1,'Previdência_(série)'!$K10,'Previdência_(série)'!$K10-K9)</f>
        <v>3117962368.7</v>
      </c>
      <c r="M10" s="5">
        <f>SUMIFS('Previdência_(série)'!$L$2:$L$166,'Previdência_(série)'!$A$2:$A$166,"&gt;"&amp;EDATE('Previdência_(série)'!$A10,-12),'Previdência_(série)'!$A$2:$A$166,"&lt;"&amp;EDATE(A10,1))</f>
        <v>26822613858.73</v>
      </c>
      <c r="N10" s="5">
        <v>1112477900.58</v>
      </c>
      <c r="O10" s="5">
        <f>IF(MONTH('Previdência_(série)'!$A10)=1,'Previdência_(série)'!$N10,'Previdência_(série)'!$N10-N9)</f>
        <v>127840912.54</v>
      </c>
      <c r="P10" s="5">
        <f>SUMIFS('Previdência_(série)'!$O$2:$O$166,'Previdência_(série)'!$A$2:$A$166,"&gt;"&amp;EDATE('Previdência_(série)'!$A10,-12),'Previdência_(série)'!$A$2:$A$166,"&lt;"&amp;EDATE(A10,1))</f>
        <v>1112477900.58</v>
      </c>
      <c r="Q10" s="5">
        <v>14368628781.4</v>
      </c>
      <c r="R10" s="5">
        <f>IF(MONTH('Previdência_(série)'!$A10)=1,'Previdência_(série)'!$Q10,'Previdência_(série)'!$Q10-Q9)</f>
        <v>1561992231.06</v>
      </c>
      <c r="S10" s="5">
        <f>SUMIFS('Previdência_(série)'!$R$2:$R$166,'Previdência_(série)'!$A$2:$A$166,"&gt;"&amp;EDATE('Previdência_(série)'!$A10,-12),'Previdência_(série)'!$A$2:$A$166,"&lt;"&amp;EDATE(A10,1))</f>
        <v>14368628781.4</v>
      </c>
      <c r="T10" s="5"/>
      <c r="U10" s="5">
        <f>IF(MONTH('Previdência_(série)'!$A10)=1,'Previdência_(série)'!$T10,'Previdência_(série)'!$T10-T9)</f>
        <v>0</v>
      </c>
      <c r="V10" s="5">
        <f>SUMIFS('Previdência_(série)'!$U$2:$U$166,'Previdência_(série)'!$A$2:$A$166,"&gt;"&amp;EDATE('Previdência_(série)'!$A10,-12),'Previdência_(série)'!$A$2:$A$166,"&lt;"&amp;EDATE(A10,1))</f>
        <v>0</v>
      </c>
      <c r="W10" s="5"/>
      <c r="X10" s="5">
        <f>IF(MONTH('Previdência_(série)'!$A10)=1,'Previdência_(série)'!$W10,'Previdência_(série)'!$W10-W9)</f>
        <v>0</v>
      </c>
      <c r="Y10" s="5">
        <f>SUMIFS('Previdência_(série)'!$X$2:$X$166,'Previdência_(série)'!$A$2:$A$166,"&gt;"&amp;EDATE('Previdência_(série)'!$A10,-12),'Previdência_(série)'!$A$2:$A$166,"&lt;"&amp;EDATE(A10,1))</f>
        <v>0</v>
      </c>
      <c r="Z10" s="199"/>
      <c r="AA10" s="1"/>
      <c r="AB10" s="1"/>
      <c r="AC10" s="1"/>
      <c r="AD10" s="4" t="s">
        <v>594</v>
      </c>
      <c r="AE10" s="17">
        <v>39692</v>
      </c>
      <c r="AF10" s="4">
        <v>2008</v>
      </c>
    </row>
    <row ht="13.8" outlineLevel="0" r="11">
      <c r="A11" s="17">
        <v>39722</v>
      </c>
      <c r="B11" s="5">
        <v>127095390287.77</v>
      </c>
      <c r="C11" s="5">
        <f>IF(MONTH('Previdência_(série)'!$A11)=1,'Previdência_(série)'!$B11,'Previdência_(série)'!$B11-B10)</f>
        <v>13653115618.38</v>
      </c>
      <c r="D11" s="5">
        <f>SUMIFS('Previdência_(série)'!$C$2:$C$166,'Previdência_(série)'!$A$2:$A$166,"&gt;"&amp;EDATE('Previdência_(série)'!$A11,-12),'Previdência_(série)'!$A$2:$A$166,"&lt;"&amp;EDATE(A11,1))</f>
        <v>127095390287.77</v>
      </c>
      <c r="E11" s="5">
        <v>160299436180.05</v>
      </c>
      <c r="F11" s="5">
        <f>IF(MONTH('Previdência_(série)'!$A11)=1,'Previdência_(série)'!$E11,'Previdência_(série)'!$E11-E10)</f>
        <v>15808344431.67</v>
      </c>
      <c r="G11" s="5">
        <f>SUMIFS('Previdência_(série)'!$F$2:$F$166,'Previdência_(série)'!$A$2:$A$166,"&gt;"&amp;EDATE('Previdência_(série)'!$A11,-12),'Previdência_(série)'!$A$2:$A$166,"&lt;"&amp;EDATE(A11,1))</f>
        <v>160299436180.05</v>
      </c>
      <c r="H11" s="5">
        <v>11791042868.72</v>
      </c>
      <c r="I11" s="5">
        <f>IF(MONTH('Previdência_(série)'!$A11)=1,'Previdência_(série)'!$H11,'Previdência_(série)'!$H11-H10)</f>
        <v>1449424466.14</v>
      </c>
      <c r="J11" s="5">
        <f>SUMIFS('Previdência_(série)'!$I$2:$I$166,'Previdência_(série)'!$A$2:$A$166,"&gt;"&amp;EDATE('Previdência_(série)'!$A11,-12),'Previdência_(série)'!$A$2:$A$166,"&lt;"&amp;EDATE(A11,1))</f>
        <v>11791042868.72</v>
      </c>
      <c r="K11" s="5">
        <v>29874644383.76</v>
      </c>
      <c r="L11" s="5">
        <f>IF(MONTH('Previdência_(série)'!$A11)=1,'Previdência_(série)'!$K11,'Previdência_(série)'!$K11-K10)</f>
        <v>3052030525.03</v>
      </c>
      <c r="M11" s="5">
        <f>SUMIFS('Previdência_(série)'!$L$2:$L$166,'Previdência_(série)'!$A$2:$A$166,"&gt;"&amp;EDATE('Previdência_(série)'!$A11,-12),'Previdência_(série)'!$A$2:$A$166,"&lt;"&amp;EDATE(A11,1))</f>
        <v>29874644383.76</v>
      </c>
      <c r="N11" s="5">
        <v>1244359493.16</v>
      </c>
      <c r="O11" s="5">
        <f>IF(MONTH('Previdência_(série)'!$A11)=1,'Previdência_(série)'!$N11,'Previdência_(série)'!$N11-N10)</f>
        <v>131881592.58</v>
      </c>
      <c r="P11" s="5">
        <f>SUMIFS('Previdência_(série)'!$O$2:$O$166,'Previdência_(série)'!$A$2:$A$166,"&gt;"&amp;EDATE('Previdência_(série)'!$A11,-12),'Previdência_(série)'!$A$2:$A$166,"&lt;"&amp;EDATE(A11,1))</f>
        <v>1244359493.16</v>
      </c>
      <c r="Q11" s="5">
        <v>15994054338.38</v>
      </c>
      <c r="R11" s="5">
        <f>IF(MONTH('Previdência_(série)'!$A11)=1,'Previdência_(série)'!$Q11,'Previdência_(série)'!$Q11-Q10)</f>
        <v>1625425556.98</v>
      </c>
      <c r="S11" s="5">
        <f>SUMIFS('Previdência_(série)'!$R$2:$R$166,'Previdência_(série)'!$A$2:$A$166,"&gt;"&amp;EDATE('Previdência_(série)'!$A11,-12),'Previdência_(série)'!$A$2:$A$166,"&lt;"&amp;EDATE(A11,1))</f>
        <v>15994054338.38</v>
      </c>
      <c r="T11" s="5"/>
      <c r="U11" s="5">
        <f>IF(MONTH('Previdência_(série)'!$A11)=1,'Previdência_(série)'!$T11,'Previdência_(série)'!$T11-T10)</f>
        <v>0</v>
      </c>
      <c r="V11" s="5">
        <f>SUMIFS('Previdência_(série)'!$U$2:$U$166,'Previdência_(série)'!$A$2:$A$166,"&gt;"&amp;EDATE('Previdência_(série)'!$A11,-12),'Previdência_(série)'!$A$2:$A$166,"&lt;"&amp;EDATE(A11,1))</f>
        <v>0</v>
      </c>
      <c r="W11" s="5"/>
      <c r="X11" s="5">
        <f>IF(MONTH('Previdência_(série)'!$A11)=1,'Previdência_(série)'!$W11,'Previdência_(série)'!$W11-W10)</f>
        <v>0</v>
      </c>
      <c r="Y11" s="5">
        <f>SUMIFS('Previdência_(série)'!$X$2:$X$166,'Previdência_(série)'!$A$2:$A$166,"&gt;"&amp;EDATE('Previdência_(série)'!$A11,-12),'Previdência_(série)'!$A$2:$A$166,"&lt;"&amp;EDATE(A11,1))</f>
        <v>0</v>
      </c>
      <c r="Z11" s="199"/>
      <c r="AA11" s="1"/>
      <c r="AB11" s="1"/>
      <c r="AC11" s="1"/>
      <c r="AD11" s="4" t="s">
        <v>595</v>
      </c>
      <c r="AE11" s="17">
        <v>39722</v>
      </c>
      <c r="AF11" s="4">
        <v>2008</v>
      </c>
    </row>
    <row ht="13.8" outlineLevel="0" r="12">
      <c r="A12" s="17">
        <v>39753</v>
      </c>
      <c r="B12" s="5">
        <v>140686392081.15</v>
      </c>
      <c r="C12" s="5">
        <f>IF(MONTH('Previdência_(série)'!$A12)=1,'Previdência_(série)'!$B12,'Previdência_(série)'!$B12-B11)</f>
        <v>13591001793.38</v>
      </c>
      <c r="D12" s="5">
        <f>SUMIFS('Previdência_(série)'!$C$2:$C$166,'Previdência_(série)'!$A$2:$A$166,"&gt;"&amp;EDATE('Previdência_(série)'!$A12,-12),'Previdência_(série)'!$A$2:$A$166,"&lt;"&amp;EDATE(A12,1))</f>
        <v>140686392081.15</v>
      </c>
      <c r="E12" s="5">
        <v>179791837482.11</v>
      </c>
      <c r="F12" s="5">
        <f>IF(MONTH('Previdência_(série)'!$A12)=1,'Previdência_(série)'!$E12,'Previdência_(série)'!$E12-E11)</f>
        <v>19492401302.06</v>
      </c>
      <c r="G12" s="5">
        <f>SUMIFS('Previdência_(série)'!$F$2:$F$166,'Previdência_(série)'!$A$2:$A$166,"&gt;"&amp;EDATE('Previdência_(série)'!$A12,-12),'Previdência_(série)'!$A$2:$A$166,"&lt;"&amp;EDATE(A12,1))</f>
        <v>179791837482.11</v>
      </c>
      <c r="H12" s="5">
        <v>14108082814.12</v>
      </c>
      <c r="I12" s="5">
        <f>IF(MONTH('Previdência_(série)'!$A12)=1,'Previdência_(série)'!$H12,'Previdência_(série)'!$H12-H11)</f>
        <v>2317039945.4</v>
      </c>
      <c r="J12" s="5">
        <f>SUMIFS('Previdência_(série)'!$I$2:$I$166,'Previdência_(série)'!$A$2:$A$166,"&gt;"&amp;EDATE('Previdência_(série)'!$A12,-12),'Previdência_(série)'!$A$2:$A$166,"&lt;"&amp;EDATE(A12,1))</f>
        <v>14108082814.12</v>
      </c>
      <c r="K12" s="5">
        <v>34515272561.86</v>
      </c>
      <c r="L12" s="5">
        <f>IF(MONTH('Previdência_(série)'!$A12)=1,'Previdência_(série)'!$K12,'Previdência_(série)'!$K12-K11)</f>
        <v>4640628178.1</v>
      </c>
      <c r="M12" s="5">
        <f>SUMIFS('Previdência_(série)'!$L$2:$L$166,'Previdência_(série)'!$A$2:$A$166,"&gt;"&amp;EDATE('Previdência_(série)'!$A12,-12),'Previdência_(série)'!$A$2:$A$166,"&lt;"&amp;EDATE(A12,1))</f>
        <v>34515272561.86</v>
      </c>
      <c r="N12" s="5">
        <v>1379569107.31</v>
      </c>
      <c r="O12" s="5">
        <f>IF(MONTH('Previdência_(série)'!$A12)=1,'Previdência_(série)'!$N12,'Previdência_(série)'!$N12-N11)</f>
        <v>135209614.15</v>
      </c>
      <c r="P12" s="5">
        <f>SUMIFS('Previdência_(série)'!$O$2:$O$166,'Previdência_(série)'!$A$2:$A$166,"&gt;"&amp;EDATE('Previdência_(série)'!$A12,-12),'Previdência_(série)'!$A$2:$A$166,"&lt;"&amp;EDATE(A12,1))</f>
        <v>1379569107.31</v>
      </c>
      <c r="Q12" s="5">
        <v>18476181184.67</v>
      </c>
      <c r="R12" s="5">
        <f>IF(MONTH('Previdência_(série)'!$A12)=1,'Previdência_(série)'!$Q12,'Previdência_(série)'!$Q12-Q11)</f>
        <v>2482126846.29</v>
      </c>
      <c r="S12" s="5">
        <f>SUMIFS('Previdência_(série)'!$R$2:$R$166,'Previdência_(série)'!$A$2:$A$166,"&gt;"&amp;EDATE('Previdência_(série)'!$A12,-12),'Previdência_(série)'!$A$2:$A$166,"&lt;"&amp;EDATE(A12,1))</f>
        <v>18476181184.67</v>
      </c>
      <c r="T12" s="5"/>
      <c r="U12" s="5">
        <f>IF(MONTH('Previdência_(série)'!$A12)=1,'Previdência_(série)'!$T12,'Previdência_(série)'!$T12-T11)</f>
        <v>0</v>
      </c>
      <c r="V12" s="5">
        <f>SUMIFS('Previdência_(série)'!$U$2:$U$166,'Previdência_(série)'!$A$2:$A$166,"&gt;"&amp;EDATE('Previdência_(série)'!$A12,-12),'Previdência_(série)'!$A$2:$A$166,"&lt;"&amp;EDATE(A12,1))</f>
        <v>0</v>
      </c>
      <c r="W12" s="5"/>
      <c r="X12" s="5">
        <f>IF(MONTH('Previdência_(série)'!$A12)=1,'Previdência_(série)'!$W12,'Previdência_(série)'!$W12-W11)</f>
        <v>0</v>
      </c>
      <c r="Y12" s="5">
        <f>SUMIFS('Previdência_(série)'!$X$2:$X$166,'Previdência_(série)'!$A$2:$A$166,"&gt;"&amp;EDATE('Previdência_(série)'!$A12,-12),'Previdência_(série)'!$A$2:$A$166,"&lt;"&amp;EDATE(A12,1))</f>
        <v>0</v>
      </c>
      <c r="Z12" s="199"/>
      <c r="AA12" s="1"/>
      <c r="AB12" s="1"/>
      <c r="AC12" s="1"/>
      <c r="AD12" s="4" t="s">
        <v>596</v>
      </c>
      <c r="AE12" s="17">
        <v>39753</v>
      </c>
      <c r="AF12" s="4">
        <v>2008</v>
      </c>
    </row>
    <row ht="13.8" outlineLevel="0" r="13">
      <c r="A13" s="17">
        <v>39783</v>
      </c>
      <c r="B13" s="5">
        <v>161511380064.6</v>
      </c>
      <c r="C13" s="5">
        <f>IF(MONTH('Previdência_(série)'!$A13)=1,'Previdência_(série)'!$B13,'Previdência_(série)'!$B13-B12)</f>
        <v>20824987983.45</v>
      </c>
      <c r="D13" s="5">
        <f>SUMIFS('Previdência_(série)'!$C$2:$C$166,'Previdência_(série)'!$A$2:$A$166,"&gt;"&amp;EDATE('Previdência_(série)'!$A13,-12),'Previdência_(série)'!$A$2:$A$166,"&lt;"&amp;EDATE(A13,1))</f>
        <v>161511380064.6</v>
      </c>
      <c r="E13" s="5">
        <v>201423727955.08</v>
      </c>
      <c r="F13" s="5">
        <f>IF(MONTH('Previdência_(série)'!$A13)=1,'Previdência_(série)'!$E13,'Previdência_(série)'!$E13-E12)</f>
        <v>21631890472.97</v>
      </c>
      <c r="G13" s="5">
        <f>SUMIFS('Previdência_(série)'!$F$2:$F$166,'Previdência_(série)'!$A$2:$A$166,"&gt;"&amp;EDATE('Previdência_(série)'!$A13,-12),'Previdência_(série)'!$A$2:$A$166,"&lt;"&amp;EDATE(A13,1))</f>
        <v>201423727955.08</v>
      </c>
      <c r="H13" s="5">
        <v>16068806382.09</v>
      </c>
      <c r="I13" s="5">
        <f>IF(MONTH('Previdência_(série)'!$A13)=1,'Previdência_(série)'!$H13,'Previdência_(série)'!$H13-H12)</f>
        <v>1960723567.97</v>
      </c>
      <c r="J13" s="5">
        <f>SUMIFS('Previdência_(série)'!$I$2:$I$166,'Previdência_(série)'!$A$2:$A$166,"&gt;"&amp;EDATE('Previdência_(série)'!$A13,-12),'Previdência_(série)'!$A$2:$A$166,"&lt;"&amp;EDATE(A13,1))</f>
        <v>16068806382.09</v>
      </c>
      <c r="K13" s="5">
        <v>38512436071.54</v>
      </c>
      <c r="L13" s="5">
        <f>IF(MONTH('Previdência_(série)'!$A13)=1,'Previdência_(série)'!$K13,'Previdência_(série)'!$K13-K12)</f>
        <v>3997163509.68</v>
      </c>
      <c r="M13" s="5">
        <f>SUMIFS('Previdência_(série)'!$L$2:$L$166,'Previdência_(série)'!$A$2:$A$166,"&gt;"&amp;EDATE('Previdência_(série)'!$A13,-12),'Previdência_(série)'!$A$2:$A$166,"&lt;"&amp;EDATE(A13,1))</f>
        <v>38512436071.54</v>
      </c>
      <c r="N13" s="5">
        <v>1512857014.78</v>
      </c>
      <c r="O13" s="5">
        <f>IF(MONTH('Previdência_(série)'!$A13)=1,'Previdência_(série)'!$N13,'Previdência_(série)'!$N13-N12)</f>
        <v>133287907.47</v>
      </c>
      <c r="P13" s="5">
        <f>SUMIFS('Previdência_(série)'!$O$2:$O$166,'Previdência_(série)'!$A$2:$A$166,"&gt;"&amp;EDATE('Previdência_(série)'!$A13,-12),'Previdência_(série)'!$A$2:$A$166,"&lt;"&amp;EDATE(A13,1))</f>
        <v>1512857014.78</v>
      </c>
      <c r="Q13" s="5">
        <v>20139624804.41</v>
      </c>
      <c r="R13" s="5">
        <f>IF(MONTH('Previdência_(série)'!$A13)=1,'Previdência_(série)'!$Q13,'Previdência_(série)'!$Q13-Q12)</f>
        <v>1663443619.74</v>
      </c>
      <c r="S13" s="5">
        <f>SUMIFS('Previdência_(série)'!$R$2:$R$166,'Previdência_(série)'!$A$2:$A$166,"&gt;"&amp;EDATE('Previdência_(série)'!$A13,-12),'Previdência_(série)'!$A$2:$A$166,"&lt;"&amp;EDATE(A13,1))</f>
        <v>20139624804.41</v>
      </c>
      <c r="T13" s="5"/>
      <c r="U13" s="5">
        <f>IF(MONTH('Previdência_(série)'!$A13)=1,'Previdência_(série)'!$T13,'Previdência_(série)'!$T13-T12)</f>
        <v>0</v>
      </c>
      <c r="V13" s="5">
        <f>SUMIFS('Previdência_(série)'!$U$2:$U$166,'Previdência_(série)'!$A$2:$A$166,"&gt;"&amp;EDATE('Previdência_(série)'!$A13,-12),'Previdência_(série)'!$A$2:$A$166,"&lt;"&amp;EDATE(A13,1))</f>
        <v>0</v>
      </c>
      <c r="W13" s="5"/>
      <c r="X13" s="5">
        <f>IF(MONTH('Previdência_(série)'!$A13)=1,'Previdência_(série)'!$W13,'Previdência_(série)'!$W13-W12)</f>
        <v>0</v>
      </c>
      <c r="Y13" s="5">
        <f>SUMIFS('Previdência_(série)'!$X$2:$X$166,'Previdência_(série)'!$A$2:$A$166,"&gt;"&amp;EDATE('Previdência_(série)'!$A13,-12),'Previdência_(série)'!$A$2:$A$166,"&lt;"&amp;EDATE(A13,1))</f>
        <v>0</v>
      </c>
      <c r="Z13" s="199"/>
      <c r="AA13" s="1"/>
      <c r="AB13" s="1"/>
      <c r="AC13" s="1"/>
      <c r="AD13" s="4" t="s">
        <v>597</v>
      </c>
      <c r="AE13" s="17">
        <v>39783</v>
      </c>
      <c r="AF13" s="4">
        <v>2008</v>
      </c>
    </row>
    <row ht="13.8" outlineLevel="0" r="14">
      <c r="A14" s="17">
        <v>39814</v>
      </c>
      <c r="B14" s="5">
        <v>13138051100.05</v>
      </c>
      <c r="C14" s="5">
        <f>IF(MONTH('Previdência_(série)'!$A14)=1,'Previdência_(série)'!$B14,'Previdência_(série)'!$B14-B13)</f>
        <v>13138051100.05</v>
      </c>
      <c r="D14" s="5">
        <f>SUMIFS('Previdência_(série)'!$C$2:$C$166,'Previdência_(série)'!$A$2:$A$166,"&gt;"&amp;EDATE('Previdência_(série)'!$A14,-12),'Previdência_(série)'!$A$2:$A$166,"&lt;"&amp;EDATE(A14,1))</f>
        <v>163667828730.16</v>
      </c>
      <c r="E14" s="5">
        <v>18477182049.45</v>
      </c>
      <c r="F14" s="5">
        <f>IF(MONTH('Previdência_(série)'!$A14)=1,'Previdência_(série)'!$E14,'Previdência_(série)'!$E14-E13)</f>
        <v>18477182049.45</v>
      </c>
      <c r="G14" s="5">
        <f>SUMIFS('Previdência_(série)'!$F$2:$F$166,'Previdência_(série)'!$A$2:$A$166,"&gt;"&amp;EDATE('Previdência_(série)'!$A14,-12),'Previdência_(série)'!$A$2:$A$166,"&lt;"&amp;EDATE(A14,1))</f>
        <v>204018474652.81</v>
      </c>
      <c r="H14" s="5">
        <v>1399379299.31</v>
      </c>
      <c r="I14" s="5">
        <f>IF(MONTH('Previdência_(série)'!$A14)=1,'Previdência_(série)'!$H14,'Previdência_(série)'!$H14-H13)</f>
        <v>1399379299.31</v>
      </c>
      <c r="J14" s="5">
        <f>SUMIFS('Previdência_(série)'!$I$2:$I$166,'Previdência_(série)'!$A$2:$A$166,"&gt;"&amp;EDATE('Previdência_(série)'!$A14,-12),'Previdência_(série)'!$A$2:$A$166,"&lt;"&amp;EDATE(A14,1))</f>
        <v>16442136612.68</v>
      </c>
      <c r="K14" s="5">
        <v>3885095382.98</v>
      </c>
      <c r="L14" s="5">
        <f>IF(MONTH('Previdência_(série)'!$A14)=1,'Previdência_(série)'!$K14,'Previdência_(série)'!$K14-K13)</f>
        <v>3885095382.98</v>
      </c>
      <c r="M14" s="5">
        <f>SUMIFS('Previdência_(série)'!$L$2:$L$166,'Previdência_(série)'!$A$2:$A$166,"&gt;"&amp;EDATE('Previdência_(série)'!$A14,-12),'Previdência_(série)'!$A$2:$A$166,"&lt;"&amp;EDATE(A14,1))</f>
        <v>39461826544.56</v>
      </c>
      <c r="N14" s="5">
        <v>165676650.15</v>
      </c>
      <c r="O14" s="5">
        <f>IF(MONTH('Previdência_(série)'!$A14)=1,'Previdência_(série)'!$N14,'Previdência_(série)'!$N14-N13)</f>
        <v>165676650.15</v>
      </c>
      <c r="P14" s="5">
        <f>SUMIFS('Previdência_(série)'!$O$2:$O$166,'Previdência_(série)'!$A$2:$A$166,"&gt;"&amp;EDATE('Previdência_(série)'!$A14,-12),'Previdência_(série)'!$A$2:$A$166,"&lt;"&amp;EDATE(A14,1))</f>
        <v>1568820046.83</v>
      </c>
      <c r="Q14" s="5">
        <v>1615749821.16</v>
      </c>
      <c r="R14" s="5">
        <f>IF(MONTH('Previdência_(série)'!$A14)=1,'Previdência_(série)'!$Q14,'Previdência_(série)'!$Q14-Q13)</f>
        <v>1615749821.16</v>
      </c>
      <c r="S14" s="5">
        <f>SUMIFS('Previdência_(série)'!$R$2:$R$166,'Previdência_(série)'!$A$2:$A$166,"&gt;"&amp;EDATE('Previdência_(série)'!$A14,-12),'Previdência_(série)'!$A$2:$A$166,"&lt;"&amp;EDATE(A14,1))</f>
        <v>20423078187.26</v>
      </c>
      <c r="T14" s="5"/>
      <c r="U14" s="5" t="s">
        <f>IF(MONTH('Previdência_(série)'!$A14)=1,'Previdência_(série)'!$T14,'Previdência_(série)'!$T14-T13)</f>
      </c>
      <c r="V14" s="5">
        <f>SUMIFS('Previdência_(série)'!$U$2:$U$166,'Previdência_(série)'!$A$2:$A$166,"&gt;"&amp;EDATE('Previdência_(série)'!$A14,-12),'Previdência_(série)'!$A$2:$A$166,"&lt;"&amp;EDATE(A14,1))</f>
        <v>0</v>
      </c>
      <c r="W14" s="5"/>
      <c r="X14" s="5" t="s">
        <f>IF(MONTH('Previdência_(série)'!$A14)=1,'Previdência_(série)'!$W14,'Previdência_(série)'!$W14-W13)</f>
      </c>
      <c r="Y14" s="5">
        <f>SUMIFS('Previdência_(série)'!$X$2:$X$166,'Previdência_(série)'!$A$2:$A$166,"&gt;"&amp;EDATE('Previdência_(série)'!$A14,-12),'Previdência_(série)'!$A$2:$A$166,"&lt;"&amp;EDATE(A14,1))</f>
        <v>0</v>
      </c>
      <c r="Z14" s="199"/>
      <c r="AA14" s="1"/>
      <c r="AB14" s="1"/>
      <c r="AC14" s="1"/>
      <c r="AD14" s="4" t="s">
        <v>586</v>
      </c>
      <c r="AE14" s="17">
        <v>39814</v>
      </c>
      <c r="AF14" s="4">
        <v>2009</v>
      </c>
    </row>
    <row ht="13.8" outlineLevel="0" r="15">
      <c r="A15" s="17">
        <v>39845</v>
      </c>
      <c r="B15" s="5">
        <v>26604393256.05</v>
      </c>
      <c r="C15" s="5">
        <f>IF(MONTH('Previdência_(série)'!$A15)=1,'Previdência_(série)'!$B15,'Previdência_(série)'!$B15-B14)</f>
        <v>13466342156</v>
      </c>
      <c r="D15" s="5">
        <f>SUMIFS('Previdência_(série)'!$C$2:$C$166,'Previdência_(série)'!$A$2:$A$166,"&gt;"&amp;EDATE('Previdência_(série)'!$A15,-12),'Previdência_(série)'!$A$2:$A$166,"&lt;"&amp;EDATE(A15,1))</f>
        <v>165607757606.96</v>
      </c>
      <c r="E15" s="5">
        <v>35276405971.64</v>
      </c>
      <c r="F15" s="5">
        <f>IF(MONTH('Previdência_(série)'!$A15)=1,'Previdência_(série)'!$E15,'Previdência_(série)'!$E15-E14)</f>
        <v>16799223922.19</v>
      </c>
      <c r="G15" s="5">
        <f>SUMIFS('Previdência_(série)'!$F$2:$F$166,'Previdência_(série)'!$A$2:$A$166,"&gt;"&amp;EDATE('Previdência_(série)'!$A15,-12),'Previdência_(série)'!$A$2:$A$166,"&lt;"&amp;EDATE(A15,1))</f>
        <v>210123806295.34</v>
      </c>
      <c r="H15" s="5">
        <v>2553869476.49</v>
      </c>
      <c r="I15" s="5">
        <f>IF(MONTH('Previdência_(série)'!$A15)=1,'Previdência_(série)'!$H15,'Previdência_(série)'!$H15-H14)</f>
        <v>1154490177.18</v>
      </c>
      <c r="J15" s="5">
        <f>SUMIFS('Previdência_(série)'!$I$2:$I$166,'Previdência_(série)'!$A$2:$A$166,"&gt;"&amp;EDATE('Previdência_(série)'!$A15,-12),'Previdência_(série)'!$A$2:$A$166,"&lt;"&amp;EDATE(A15,1))</f>
        <v>16309030987.09</v>
      </c>
      <c r="K15" s="5">
        <v>7049769460.08</v>
      </c>
      <c r="L15" s="5">
        <f>IF(MONTH('Previdência_(série)'!$A15)=1,'Previdência_(série)'!$K15,'Previdência_(série)'!$K15-K14)</f>
        <v>3164674077.1</v>
      </c>
      <c r="M15" s="5">
        <f>SUMIFS('Previdência_(série)'!$L$2:$L$166,'Previdência_(série)'!$A$2:$A$166,"&gt;"&amp;EDATE('Previdência_(série)'!$A15,-12),'Previdência_(série)'!$A$2:$A$166,"&lt;"&amp;EDATE(A15,1))</f>
        <v>39986510671.29</v>
      </c>
      <c r="N15" s="5">
        <v>232152827.48</v>
      </c>
      <c r="O15" s="5">
        <f>IF(MONTH('Previdência_(série)'!$A15)=1,'Previdência_(série)'!$N15,'Previdência_(série)'!$N15-N14)</f>
        <v>66476177.33</v>
      </c>
      <c r="P15" s="5">
        <f>SUMIFS('Previdência_(série)'!$O$2:$O$166,'Previdência_(série)'!$A$2:$A$166,"&gt;"&amp;EDATE('Previdência_(série)'!$A15,-12),'Previdência_(série)'!$A$2:$A$166,"&lt;"&amp;EDATE(A15,1))</f>
        <v>1496078173.81</v>
      </c>
      <c r="Q15" s="5">
        <v>3225242848.83</v>
      </c>
      <c r="R15" s="5">
        <f>IF(MONTH('Previdência_(série)'!$A15)=1,'Previdência_(série)'!$Q15,'Previdência_(série)'!$Q15-Q14)</f>
        <v>1609493027.67</v>
      </c>
      <c r="S15" s="5">
        <f>SUMIFS('Previdência_(série)'!$R$2:$R$166,'Previdência_(série)'!$A$2:$A$166,"&gt;"&amp;EDATE('Previdência_(série)'!$A15,-12),'Previdência_(série)'!$A$2:$A$166,"&lt;"&amp;EDATE(A15,1))</f>
        <v>20687216905.55</v>
      </c>
      <c r="T15" s="5"/>
      <c r="U15" s="5">
        <f>IF(MONTH('Previdência_(série)'!$A15)=1,'Previdência_(série)'!$T15,'Previdência_(série)'!$T15-T14)</f>
        <v>0</v>
      </c>
      <c r="V15" s="5">
        <f>SUMIFS('Previdência_(série)'!$U$2:$U$166,'Previdência_(série)'!$A$2:$A$166,"&gt;"&amp;EDATE('Previdência_(série)'!$A15,-12),'Previdência_(série)'!$A$2:$A$166,"&lt;"&amp;EDATE(A15,1))</f>
        <v>0</v>
      </c>
      <c r="W15" s="5"/>
      <c r="X15" s="5">
        <f>IF(MONTH('Previdência_(série)'!$A15)=1,'Previdência_(série)'!$W15,'Previdência_(série)'!$W15-W14)</f>
        <v>0</v>
      </c>
      <c r="Y15" s="5">
        <f>SUMIFS('Previdência_(série)'!$X$2:$X$166,'Previdência_(série)'!$A$2:$A$166,"&gt;"&amp;EDATE('Previdência_(série)'!$A15,-12),'Previdência_(série)'!$A$2:$A$166,"&lt;"&amp;EDATE(A15,1))</f>
        <v>0</v>
      </c>
      <c r="Z15" s="199"/>
      <c r="AA15" s="1"/>
      <c r="AB15" s="1"/>
      <c r="AC15" s="1"/>
      <c r="AD15" s="4" t="s">
        <v>587</v>
      </c>
      <c r="AE15" s="17">
        <v>39845</v>
      </c>
      <c r="AF15" s="4">
        <v>2009</v>
      </c>
    </row>
    <row ht="13.8" outlineLevel="0" r="16">
      <c r="A16" s="17">
        <v>39873</v>
      </c>
      <c r="B16" s="5">
        <v>40492319597.74</v>
      </c>
      <c r="C16" s="5">
        <f>IF(MONTH('Previdência_(série)'!$A16)=1,'Previdência_(série)'!$B16,'Previdência_(série)'!$B16-B15)</f>
        <v>13887926341.69</v>
      </c>
      <c r="D16" s="5">
        <f>SUMIFS('Previdência_(série)'!$C$2:$C$166,'Previdência_(série)'!$A$2:$A$166,"&gt;"&amp;EDATE('Previdência_(série)'!$A16,-12),'Previdência_(série)'!$A$2:$A$166,"&lt;"&amp;EDATE(A16,1))</f>
        <v>166838851861.6</v>
      </c>
      <c r="E16" s="5">
        <v>52511009967.89</v>
      </c>
      <c r="F16" s="5">
        <f>IF(MONTH('Previdência_(série)'!$A16)=1,'Previdência_(série)'!$E16,'Previdência_(série)'!$E16-E15)</f>
        <v>17234603996.25</v>
      </c>
      <c r="G16" s="5">
        <f>SUMIFS('Previdência_(série)'!$F$2:$F$166,'Previdência_(série)'!$A$2:$A$166,"&gt;"&amp;EDATE('Previdência_(série)'!$A16,-12),'Previdência_(série)'!$A$2:$A$166,"&lt;"&amp;EDATE(A16,1))</f>
        <v>209522514446.78</v>
      </c>
      <c r="H16" s="5">
        <v>4056532445.89</v>
      </c>
      <c r="I16" s="5">
        <f>IF(MONTH('Previdência_(série)'!$A16)=1,'Previdência_(série)'!$H16,'Previdência_(série)'!$H16-H15)</f>
        <v>1502662969.4</v>
      </c>
      <c r="J16" s="5">
        <f>SUMIFS('Previdência_(série)'!$I$2:$I$166,'Previdência_(série)'!$A$2:$A$166,"&gt;"&amp;EDATE('Previdência_(série)'!$A16,-12),'Previdência_(série)'!$A$2:$A$166,"&lt;"&amp;EDATE(A16,1))</f>
        <v>16738485308.84</v>
      </c>
      <c r="K16" s="5">
        <v>10209467196.45</v>
      </c>
      <c r="L16" s="5">
        <f>IF(MONTH('Previdência_(série)'!$A16)=1,'Previdência_(série)'!$K16,'Previdência_(série)'!$K16-K15)</f>
        <v>3159697736.37</v>
      </c>
      <c r="M16" s="5">
        <f>SUMIFS('Previdência_(série)'!$L$2:$L$166,'Previdência_(série)'!$A$2:$A$166,"&gt;"&amp;EDATE('Previdência_(série)'!$A16,-12),'Previdência_(série)'!$A$2:$A$166,"&lt;"&amp;EDATE(A16,1))</f>
        <v>40414110108.44</v>
      </c>
      <c r="N16" s="5">
        <v>427827314.72</v>
      </c>
      <c r="O16" s="5">
        <f>IF(MONTH('Previdência_(série)'!$A16)=1,'Previdência_(série)'!$N16,'Previdência_(série)'!$N16-N15)</f>
        <v>195674487.24</v>
      </c>
      <c r="P16" s="5">
        <f>SUMIFS('Previdência_(série)'!$O$2:$O$166,'Previdência_(série)'!$A$2:$A$166,"&gt;"&amp;EDATE('Previdência_(série)'!$A16,-12),'Previdência_(série)'!$A$2:$A$166,"&lt;"&amp;EDATE(A16,1))</f>
        <v>1609332432.08</v>
      </c>
      <c r="Q16" s="5">
        <v>4887185585</v>
      </c>
      <c r="R16" s="5">
        <f>IF(MONTH('Previdência_(série)'!$A16)=1,'Previdência_(série)'!$Q16,'Previdência_(série)'!$Q16-Q15)</f>
        <v>1661942736.17</v>
      </c>
      <c r="S16" s="5">
        <f>SUMIFS('Previdência_(série)'!$R$2:$R$166,'Previdência_(série)'!$A$2:$A$166,"&gt;"&amp;EDATE('Previdência_(série)'!$A16,-12),'Previdência_(série)'!$A$2:$A$166,"&lt;"&amp;EDATE(A16,1))</f>
        <v>20951969684.75</v>
      </c>
      <c r="T16" s="5"/>
      <c r="U16" s="5">
        <f>IF(MONTH('Previdência_(série)'!$A16)=1,'Previdência_(série)'!$T16,'Previdência_(série)'!$T16-T15)</f>
        <v>0</v>
      </c>
      <c r="V16" s="5">
        <f>SUMIFS('Previdência_(série)'!$U$2:$U$166,'Previdência_(série)'!$A$2:$A$166,"&gt;"&amp;EDATE('Previdência_(série)'!$A16,-12),'Previdência_(série)'!$A$2:$A$166,"&lt;"&amp;EDATE(A16,1))</f>
        <v>0</v>
      </c>
      <c r="W16" s="5"/>
      <c r="X16" s="5">
        <f>IF(MONTH('Previdência_(série)'!$A16)=1,'Previdência_(série)'!$W16,'Previdência_(série)'!$W16-W15)</f>
        <v>0</v>
      </c>
      <c r="Y16" s="5">
        <f>SUMIFS('Previdência_(série)'!$X$2:$X$166,'Previdência_(série)'!$A$2:$A$166,"&gt;"&amp;EDATE('Previdência_(série)'!$A16,-12),'Previdência_(série)'!$A$2:$A$166,"&lt;"&amp;EDATE(A16,1))</f>
        <v>0</v>
      </c>
      <c r="Z16" s="199"/>
      <c r="AA16" s="1"/>
      <c r="AB16" s="1"/>
      <c r="AC16" s="1"/>
      <c r="AD16" s="4" t="s">
        <v>588</v>
      </c>
      <c r="AE16" s="17">
        <v>39873</v>
      </c>
      <c r="AF16" s="4">
        <v>2009</v>
      </c>
    </row>
    <row ht="13.8" outlineLevel="0" r="17">
      <c r="A17" s="17">
        <v>39904</v>
      </c>
      <c r="B17" s="5">
        <v>54776233622.69</v>
      </c>
      <c r="C17" s="5">
        <f>IF(MONTH('Previdência_(série)'!$A17)=1,'Previdência_(série)'!$B17,'Previdência_(série)'!$B17-B16)</f>
        <v>14283914024.95</v>
      </c>
      <c r="D17" s="5">
        <f>SUMIFS('Previdência_(série)'!$C$2:$C$166,'Previdência_(série)'!$A$2:$A$166,"&gt;"&amp;EDATE('Previdência_(série)'!$A17,-12),'Previdência_(série)'!$A$2:$A$166,"&lt;"&amp;EDATE(A17,1))</f>
        <v>168471733200.98</v>
      </c>
      <c r="E17" s="5">
        <v>69721993712.49</v>
      </c>
      <c r="F17" s="5">
        <f>IF(MONTH('Previdência_(série)'!$A17)=1,'Previdência_(série)'!$E17,'Previdência_(série)'!$E17-E16)</f>
        <v>17210983744.6</v>
      </c>
      <c r="G17" s="5">
        <f>SUMIFS('Previdência_(série)'!$F$2:$F$166,'Previdência_(série)'!$A$2:$A$166,"&gt;"&amp;EDATE('Previdência_(série)'!$A17,-12),'Previdência_(série)'!$A$2:$A$166,"&lt;"&amp;EDATE(A17,1))</f>
        <v>211639375603.21</v>
      </c>
      <c r="H17" s="5">
        <v>5379610402.34</v>
      </c>
      <c r="I17" s="5">
        <f>IF(MONTH('Previdência_(série)'!$A17)=1,'Previdência_(série)'!$H17,'Previdência_(série)'!$H17-H16)</f>
        <v>1323077956.45</v>
      </c>
      <c r="J17" s="5">
        <f>SUMIFS('Previdência_(série)'!$I$2:$I$166,'Previdência_(série)'!$A$2:$A$166,"&gt;"&amp;EDATE('Previdência_(série)'!$A17,-12),'Previdência_(série)'!$A$2:$A$166,"&lt;"&amp;EDATE(A17,1))</f>
        <v>17009404018.48</v>
      </c>
      <c r="K17" s="5">
        <v>13429500894.14</v>
      </c>
      <c r="L17" s="5">
        <f>IF(MONTH('Previdência_(série)'!$A17)=1,'Previdência_(série)'!$K17,'Previdência_(série)'!$K17-K16)</f>
        <v>3220033697.69</v>
      </c>
      <c r="M17" s="5">
        <f>SUMIFS('Previdência_(série)'!$L$2:$L$166,'Previdência_(série)'!$A$2:$A$166,"&gt;"&amp;EDATE('Previdência_(série)'!$A17,-12),'Previdência_(série)'!$A$2:$A$166,"&lt;"&amp;EDATE(A17,1))</f>
        <v>40921340014.79</v>
      </c>
      <c r="N17" s="5">
        <v>562726392.77</v>
      </c>
      <c r="O17" s="5">
        <f>IF(MONTH('Previdência_(série)'!$A17)=1,'Previdência_(série)'!$N17,'Previdência_(série)'!$N17-N16)</f>
        <v>134899078.05</v>
      </c>
      <c r="P17" s="5">
        <f>SUMIFS('Previdência_(série)'!$O$2:$O$166,'Previdência_(série)'!$A$2:$A$166,"&gt;"&amp;EDATE('Previdência_(série)'!$A17,-12),'Previdência_(série)'!$A$2:$A$166,"&lt;"&amp;EDATE(A17,1))</f>
        <v>1603433570.68</v>
      </c>
      <c r="Q17" s="5">
        <v>6546971355.11</v>
      </c>
      <c r="R17" s="5">
        <f>IF(MONTH('Previdência_(série)'!$A17)=1,'Previdência_(série)'!$Q17,'Previdência_(série)'!$Q17-Q16)</f>
        <v>1659785770.11</v>
      </c>
      <c r="S17" s="5">
        <f>SUMIFS('Previdência_(série)'!$R$2:$R$166,'Previdência_(série)'!$A$2:$A$166,"&gt;"&amp;EDATE('Previdência_(série)'!$A17,-12),'Previdência_(série)'!$A$2:$A$166,"&lt;"&amp;EDATE(A17,1))</f>
        <v>21209571734.62</v>
      </c>
      <c r="T17" s="5"/>
      <c r="U17" s="5">
        <f>IF(MONTH('Previdência_(série)'!$A17)=1,'Previdência_(série)'!$T17,'Previdência_(série)'!$T17-T16)</f>
        <v>0</v>
      </c>
      <c r="V17" s="5">
        <f>SUMIFS('Previdência_(série)'!$U$2:$U$166,'Previdência_(série)'!$A$2:$A$166,"&gt;"&amp;EDATE('Previdência_(série)'!$A17,-12),'Previdência_(série)'!$A$2:$A$166,"&lt;"&amp;EDATE(A17,1))</f>
        <v>0</v>
      </c>
      <c r="W17" s="5"/>
      <c r="X17" s="5">
        <f>IF(MONTH('Previdência_(série)'!$A17)=1,'Previdência_(série)'!$W17,'Previdência_(série)'!$W17-W16)</f>
        <v>0</v>
      </c>
      <c r="Y17" s="5">
        <f>SUMIFS('Previdência_(série)'!$X$2:$X$166,'Previdência_(série)'!$A$2:$A$166,"&gt;"&amp;EDATE('Previdência_(série)'!$A17,-12),'Previdência_(série)'!$A$2:$A$166,"&lt;"&amp;EDATE(A17,1))</f>
        <v>0</v>
      </c>
      <c r="Z17" s="199"/>
      <c r="AA17" s="1"/>
      <c r="AB17" s="1"/>
      <c r="AC17" s="1"/>
      <c r="AD17" s="4" t="s">
        <v>589</v>
      </c>
      <c r="AE17" s="17">
        <v>39904</v>
      </c>
      <c r="AF17" s="4">
        <v>2009</v>
      </c>
    </row>
    <row ht="13.8" outlineLevel="0" r="18">
      <c r="A18" s="17">
        <v>39934</v>
      </c>
      <c r="B18" s="5">
        <v>69154064933.58</v>
      </c>
      <c r="C18" s="5">
        <f>IF(MONTH('Previdência_(série)'!$A18)=1,'Previdência_(série)'!$B18,'Previdência_(série)'!$B18-B17)</f>
        <v>14377831310.89</v>
      </c>
      <c r="D18" s="5">
        <f>SUMIFS('Previdência_(série)'!$C$2:$C$166,'Previdência_(série)'!$A$2:$A$166,"&gt;"&amp;EDATE('Previdência_(série)'!$A18,-12),'Previdência_(série)'!$A$2:$A$166,"&lt;"&amp;EDATE(A18,1))</f>
        <v>170125774501.97</v>
      </c>
      <c r="E18" s="5">
        <v>87027215067.05</v>
      </c>
      <c r="F18" s="5">
        <f>IF(MONTH('Previdência_(série)'!$A18)=1,'Previdência_(série)'!$E18,'Previdência_(série)'!$E18-E17)</f>
        <v>17305221354.56</v>
      </c>
      <c r="G18" s="5">
        <f>SUMIFS('Previdência_(série)'!$F$2:$F$166,'Previdência_(série)'!$A$2:$A$166,"&gt;"&amp;EDATE('Previdência_(série)'!$A18,-12),'Previdência_(série)'!$A$2:$A$166,"&lt;"&amp;EDATE(A18,1))</f>
        <v>213735977909.33</v>
      </c>
      <c r="H18" s="5">
        <v>6737958014.4</v>
      </c>
      <c r="I18" s="5">
        <f>IF(MONTH('Previdência_(série)'!$A18)=1,'Previdência_(série)'!$H18,'Previdência_(série)'!$H18-H17)</f>
        <v>1358347612.06</v>
      </c>
      <c r="J18" s="5">
        <f>SUMIFS('Previdência_(série)'!$I$2:$I$166,'Previdência_(série)'!$A$2:$A$166,"&gt;"&amp;EDATE('Previdência_(série)'!$A18,-12),'Previdência_(série)'!$A$2:$A$166,"&lt;"&amp;EDATE(A18,1))</f>
        <v>17242060297.1</v>
      </c>
      <c r="K18" s="5">
        <v>16814342748.69</v>
      </c>
      <c r="L18" s="5">
        <f>IF(MONTH('Previdência_(série)'!$A18)=1,'Previdência_(série)'!$K18,'Previdência_(série)'!$K18-K17)</f>
        <v>3384841854.55</v>
      </c>
      <c r="M18" s="5">
        <f>SUMIFS('Previdência_(série)'!$L$2:$L$166,'Previdência_(série)'!$A$2:$A$166,"&gt;"&amp;EDATE('Previdência_(série)'!$A18,-12),'Previdência_(série)'!$A$2:$A$166,"&lt;"&amp;EDATE(A18,1))</f>
        <v>41717261996.47</v>
      </c>
      <c r="N18" s="5">
        <v>697251119.58</v>
      </c>
      <c r="O18" s="5">
        <f>IF(MONTH('Previdência_(série)'!$A18)=1,'Previdência_(série)'!$N18,'Previdência_(série)'!$N18-N17)</f>
        <v>134524726.81</v>
      </c>
      <c r="P18" s="5">
        <f>SUMIFS('Previdência_(série)'!$O$2:$O$166,'Previdência_(série)'!$A$2:$A$166,"&gt;"&amp;EDATE('Previdência_(série)'!$A18,-12),'Previdência_(série)'!$A$2:$A$166,"&lt;"&amp;EDATE(A18,1))</f>
        <v>1613950711.46</v>
      </c>
      <c r="Q18" s="5">
        <v>8020622200.84</v>
      </c>
      <c r="R18" s="5">
        <f>IF(MONTH('Previdência_(série)'!$A18)=1,'Previdência_(série)'!$Q18,'Previdência_(série)'!$Q18-Q17)</f>
        <v>1473650845.73</v>
      </c>
      <c r="S18" s="5">
        <f>SUMIFS('Previdência_(série)'!$R$2:$R$166,'Previdência_(série)'!$A$2:$A$166,"&gt;"&amp;EDATE('Previdência_(série)'!$A18,-12),'Previdência_(série)'!$A$2:$A$166,"&lt;"&amp;EDATE(A18,1))</f>
        <v>20680895359.11</v>
      </c>
      <c r="T18" s="5"/>
      <c r="U18" s="5">
        <f>IF(MONTH('Previdência_(série)'!$A18)=1,'Previdência_(série)'!$T18,'Previdência_(série)'!$T18-T17)</f>
        <v>0</v>
      </c>
      <c r="V18" s="5">
        <f>SUMIFS('Previdência_(série)'!$U$2:$U$166,'Previdência_(série)'!$A$2:$A$166,"&gt;"&amp;EDATE('Previdência_(série)'!$A18,-12),'Previdência_(série)'!$A$2:$A$166,"&lt;"&amp;EDATE(A18,1))</f>
        <v>0</v>
      </c>
      <c r="W18" s="5"/>
      <c r="X18" s="5">
        <f>IF(MONTH('Previdência_(série)'!$A18)=1,'Previdência_(série)'!$W18,'Previdência_(série)'!$W18-W17)</f>
        <v>0</v>
      </c>
      <c r="Y18" s="5">
        <f>SUMIFS('Previdência_(série)'!$X$2:$X$166,'Previdência_(série)'!$A$2:$A$166,"&gt;"&amp;EDATE('Previdência_(série)'!$A18,-12),'Previdência_(série)'!$A$2:$A$166,"&lt;"&amp;EDATE(A18,1))</f>
        <v>0</v>
      </c>
      <c r="Z18" s="199"/>
      <c r="AA18" s="1"/>
      <c r="AB18" s="1"/>
      <c r="AC18" s="1"/>
      <c r="AD18" s="4" t="s">
        <v>590</v>
      </c>
      <c r="AE18" s="17">
        <v>39934</v>
      </c>
      <c r="AF18" s="4">
        <v>2009</v>
      </c>
    </row>
    <row ht="13.8" outlineLevel="0" r="19">
      <c r="A19" s="17">
        <v>39965</v>
      </c>
      <c r="B19" s="5">
        <v>82567075357.18</v>
      </c>
      <c r="C19" s="5">
        <f>IF(MONTH('Previdência_(série)'!$A19)=1,'Previdência_(série)'!$B19,'Previdência_(série)'!$B19-B18)</f>
        <v>13413010423.6</v>
      </c>
      <c r="D19" s="5">
        <f>SUMIFS('Previdência_(série)'!$C$2:$C$166,'Previdência_(série)'!$A$2:$A$166,"&gt;"&amp;EDATE('Previdência_(série)'!$A19,-12),'Previdência_(série)'!$A$2:$A$166,"&lt;"&amp;EDATE(A19,1))</f>
        <v>170583965392.34</v>
      </c>
      <c r="E19" s="5">
        <v>104451715251.29</v>
      </c>
      <c r="F19" s="5">
        <f>IF(MONTH('Previdência_(série)'!$A19)=1,'Previdência_(série)'!$E19,'Previdência_(série)'!$E19-E18)</f>
        <v>17424500184.24</v>
      </c>
      <c r="G19" s="5">
        <f>SUMIFS('Previdência_(série)'!$F$2:$F$166,'Previdência_(série)'!$A$2:$A$166,"&gt;"&amp;EDATE('Previdência_(série)'!$A19,-12),'Previdência_(série)'!$A$2:$A$166,"&lt;"&amp;EDATE(A19,1))</f>
        <v>215971996342.7</v>
      </c>
      <c r="H19" s="5">
        <v>8094659740.25</v>
      </c>
      <c r="I19" s="5">
        <f>IF(MONTH('Previdência_(série)'!$A19)=1,'Previdência_(série)'!$H19,'Previdência_(série)'!$H19-H18)</f>
        <v>1356701725.85</v>
      </c>
      <c r="J19" s="5">
        <f>SUMIFS('Previdência_(série)'!$I$2:$I$166,'Previdência_(série)'!$A$2:$A$166,"&gt;"&amp;EDATE('Previdência_(série)'!$A19,-12),'Previdência_(série)'!$A$2:$A$166,"&lt;"&amp;EDATE(A19,1))</f>
        <v>17462593688.14</v>
      </c>
      <c r="K19" s="5">
        <v>21589800970.73</v>
      </c>
      <c r="L19" s="5">
        <f>IF(MONTH('Previdência_(série)'!$A19)=1,'Previdência_(série)'!$K19,'Previdência_(série)'!$K19-K18)</f>
        <v>4775458222.04</v>
      </c>
      <c r="M19" s="5">
        <f>SUMIFS('Previdência_(série)'!$L$2:$L$166,'Previdência_(série)'!$A$2:$A$166,"&gt;"&amp;EDATE('Previdência_(série)'!$A19,-12),'Previdência_(série)'!$A$2:$A$166,"&lt;"&amp;EDATE(A19,1))</f>
        <v>42262813798.93</v>
      </c>
      <c r="N19" s="5">
        <v>831758920.18</v>
      </c>
      <c r="O19" s="5">
        <f>IF(MONTH('Previdência_(série)'!$A19)=1,'Previdência_(série)'!$N19,'Previdência_(série)'!$N19-N18)</f>
        <v>134507800.6</v>
      </c>
      <c r="P19" s="5">
        <f>SUMIFS('Previdência_(série)'!$O$2:$O$166,'Previdência_(série)'!$A$2:$A$166,"&gt;"&amp;EDATE('Previdência_(série)'!$A19,-12),'Previdência_(série)'!$A$2:$A$166,"&lt;"&amp;EDATE(A19,1))</f>
        <v>1644837830.77</v>
      </c>
      <c r="Q19" s="5">
        <v>10292563731.96</v>
      </c>
      <c r="R19" s="5">
        <f>IF(MONTH('Previdência_(série)'!$A19)=1,'Previdência_(série)'!$Q19,'Previdência_(série)'!$Q19-Q18)</f>
        <v>2271941531.12</v>
      </c>
      <c r="S19" s="5">
        <f>SUMIFS('Previdência_(série)'!$R$2:$R$166,'Previdência_(série)'!$A$2:$A$166,"&gt;"&amp;EDATE('Previdência_(série)'!$A19,-12),'Previdência_(série)'!$A$2:$A$166,"&lt;"&amp;EDATE(A19,1))</f>
        <v>20738407116</v>
      </c>
      <c r="T19" s="5"/>
      <c r="U19" s="5">
        <f>IF(MONTH('Previdência_(série)'!$A19)=1,'Previdência_(série)'!$T19,'Previdência_(série)'!$T19-T18)</f>
        <v>0</v>
      </c>
      <c r="V19" s="5">
        <f>SUMIFS('Previdência_(série)'!$U$2:$U$166,'Previdência_(série)'!$A$2:$A$166,"&gt;"&amp;EDATE('Previdência_(série)'!$A19,-12),'Previdência_(série)'!$A$2:$A$166,"&lt;"&amp;EDATE(A19,1))</f>
        <v>0</v>
      </c>
      <c r="W19" s="5"/>
      <c r="X19" s="5">
        <f>IF(MONTH('Previdência_(série)'!$A19)=1,'Previdência_(série)'!$W19,'Previdência_(série)'!$W19-W18)</f>
        <v>0</v>
      </c>
      <c r="Y19" s="5">
        <f>SUMIFS('Previdência_(série)'!$X$2:$X$166,'Previdência_(série)'!$A$2:$A$166,"&gt;"&amp;EDATE('Previdência_(série)'!$A19,-12),'Previdência_(série)'!$A$2:$A$166,"&lt;"&amp;EDATE(A19,1))</f>
        <v>0</v>
      </c>
      <c r="Z19" s="199"/>
      <c r="AA19" s="1"/>
      <c r="AB19" s="1"/>
      <c r="AC19" s="1"/>
      <c r="AD19" s="4" t="s">
        <v>591</v>
      </c>
      <c r="AE19" s="17">
        <v>39965</v>
      </c>
      <c r="AF19" s="4">
        <v>2009</v>
      </c>
    </row>
    <row ht="13.8" outlineLevel="0" r="20">
      <c r="A20" s="17">
        <v>39995</v>
      </c>
      <c r="B20" s="5">
        <v>97668545612.54</v>
      </c>
      <c r="C20" s="5">
        <f>IF(MONTH('Previdência_(série)'!$A20)=1,'Previdência_(série)'!$B20,'Previdência_(série)'!$B20-B19)</f>
        <v>15101470255.36</v>
      </c>
      <c r="D20" s="5">
        <f>SUMIFS('Previdência_(série)'!$C$2:$C$166,'Previdência_(série)'!$A$2:$A$166,"&gt;"&amp;EDATE('Previdência_(série)'!$A20,-12),'Previdência_(série)'!$A$2:$A$166,"&lt;"&amp;EDATE(A20,1))</f>
        <v>172432666914.22</v>
      </c>
      <c r="E20" s="5">
        <v>122117783760.53</v>
      </c>
      <c r="F20" s="5">
        <f>IF(MONTH('Previdência_(série)'!$A20)=1,'Previdência_(série)'!$E20,'Previdência_(série)'!$E20-E19)</f>
        <v>17666068509.24</v>
      </c>
      <c r="G20" s="5">
        <f>SUMIFS('Previdência_(série)'!$F$2:$F$166,'Previdência_(série)'!$A$2:$A$166,"&gt;"&amp;EDATE('Previdência_(série)'!$A20,-12),'Previdência_(série)'!$A$2:$A$166,"&lt;"&amp;EDATE(A20,1))</f>
        <v>218774685248.32</v>
      </c>
      <c r="H20" s="5">
        <v>9499149645.32</v>
      </c>
      <c r="I20" s="5">
        <f>IF(MONTH('Previdência_(série)'!$A20)=1,'Previdência_(série)'!$H20,'Previdência_(série)'!$H20-H19)</f>
        <v>1404489905.07</v>
      </c>
      <c r="J20" s="5">
        <f>SUMIFS('Previdência_(série)'!$I$2:$I$166,'Previdência_(série)'!$A$2:$A$166,"&gt;"&amp;EDATE('Previdência_(série)'!$A20,-12),'Previdência_(série)'!$A$2:$A$166,"&lt;"&amp;EDATE(A20,1))</f>
        <v>17574210983.31</v>
      </c>
      <c r="K20" s="5">
        <v>25215651912.98</v>
      </c>
      <c r="L20" s="5">
        <f>IF(MONTH('Previdência_(série)'!$A20)=1,'Previdência_(série)'!$K20,'Previdência_(série)'!$K20-K19)</f>
        <v>3625850942.25</v>
      </c>
      <c r="M20" s="5">
        <f>SUMIFS('Previdência_(série)'!$L$2:$L$166,'Previdência_(série)'!$A$2:$A$166,"&gt;"&amp;EDATE('Previdência_(série)'!$A20,-12),'Previdência_(série)'!$A$2:$A$166,"&lt;"&amp;EDATE(A20,1))</f>
        <v>42940393976.19</v>
      </c>
      <c r="N20" s="5">
        <v>979106703.82</v>
      </c>
      <c r="O20" s="5">
        <f>IF(MONTH('Previdência_(série)'!$A20)=1,'Previdência_(série)'!$N20,'Previdência_(série)'!$N20-N19)</f>
        <v>147347783.64</v>
      </c>
      <c r="P20" s="5">
        <f>SUMIFS('Previdência_(série)'!$O$2:$O$166,'Previdência_(série)'!$A$2:$A$166,"&gt;"&amp;EDATE('Previdência_(série)'!$A20,-12),'Previdência_(série)'!$A$2:$A$166,"&lt;"&amp;EDATE(A20,1))</f>
        <v>1602282575.03</v>
      </c>
      <c r="Q20" s="5">
        <v>11914928984.24</v>
      </c>
      <c r="R20" s="5">
        <f>IF(MONTH('Previdência_(série)'!$A20)=1,'Previdência_(série)'!$Q20,'Previdência_(série)'!$Q20-Q19)</f>
        <v>1622365252.28</v>
      </c>
      <c r="S20" s="5">
        <f>SUMIFS('Previdência_(série)'!$R$2:$R$166,'Previdência_(série)'!$A$2:$A$166,"&gt;"&amp;EDATE('Previdência_(série)'!$A20,-12),'Previdência_(série)'!$A$2:$A$166,"&lt;"&amp;EDATE(A20,1))</f>
        <v>20800522861.44</v>
      </c>
      <c r="T20" s="5"/>
      <c r="U20" s="5">
        <f>IF(MONTH('Previdência_(série)'!$A20)=1,'Previdência_(série)'!$T20,'Previdência_(série)'!$T20-T19)</f>
        <v>0</v>
      </c>
      <c r="V20" s="5">
        <f>SUMIFS('Previdência_(série)'!$U$2:$U$166,'Previdência_(série)'!$A$2:$A$166,"&gt;"&amp;EDATE('Previdência_(série)'!$A20,-12),'Previdência_(série)'!$A$2:$A$166,"&lt;"&amp;EDATE(A20,1))</f>
        <v>0</v>
      </c>
      <c r="W20" s="5"/>
      <c r="X20" s="5">
        <f>IF(MONTH('Previdência_(série)'!$A20)=1,'Previdência_(série)'!$W20,'Previdência_(série)'!$W20-W19)</f>
        <v>0</v>
      </c>
      <c r="Y20" s="5">
        <f>SUMIFS('Previdência_(série)'!$X$2:$X$166,'Previdência_(série)'!$A$2:$A$166,"&gt;"&amp;EDATE('Previdência_(série)'!$A20,-12),'Previdência_(série)'!$A$2:$A$166,"&lt;"&amp;EDATE(A20,1))</f>
        <v>0</v>
      </c>
      <c r="Z20" s="199"/>
      <c r="AA20" s="1"/>
      <c r="AB20" s="1"/>
      <c r="AC20" s="1"/>
      <c r="AD20" s="4" t="s">
        <v>592</v>
      </c>
      <c r="AE20" s="17">
        <v>39995</v>
      </c>
      <c r="AF20" s="4">
        <v>2009</v>
      </c>
    </row>
    <row ht="13.8" outlineLevel="0" r="21">
      <c r="A21" s="17">
        <v>40026</v>
      </c>
      <c r="B21" s="5">
        <v>112095841095.79</v>
      </c>
      <c r="C21" s="5">
        <f>IF(MONTH('Previdência_(série)'!$A21)=1,'Previdência_(série)'!$B21,'Previdência_(série)'!$B21-B20)</f>
        <v>14427295483.25</v>
      </c>
      <c r="D21" s="5">
        <f>SUMIFS('Previdência_(série)'!$C$2:$C$166,'Previdência_(série)'!$A$2:$A$166,"&gt;"&amp;EDATE('Previdência_(série)'!$A21,-12),'Previdência_(série)'!$A$2:$A$166,"&lt;"&amp;EDATE(A21,1))</f>
        <v>173588277216.26</v>
      </c>
      <c r="E21" s="5">
        <v>136763353451.44</v>
      </c>
      <c r="F21" s="5">
        <f>IF(MONTH('Previdência_(série)'!$A21)=1,'Previdência_(série)'!$E21,'Previdência_(série)'!$E21-E20)</f>
        <v>14645569690.91</v>
      </c>
      <c r="G21" s="5">
        <f>SUMIFS('Previdência_(série)'!$F$2:$F$166,'Previdência_(série)'!$A$2:$A$166,"&gt;"&amp;EDATE('Previdência_(série)'!$A21,-12),'Previdência_(série)'!$A$2:$A$166,"&lt;"&amp;EDATE(A21,1))</f>
        <v>208133652806.31</v>
      </c>
      <c r="H21" s="5">
        <v>10976957174.57</v>
      </c>
      <c r="I21" s="5">
        <f>IF(MONTH('Previdência_(série)'!$A21)=1,'Previdência_(série)'!$H21,'Previdência_(série)'!$H21-H20)</f>
        <v>1477807529.25</v>
      </c>
      <c r="J21" s="5">
        <f>SUMIFS('Previdência_(série)'!$I$2:$I$166,'Previdência_(série)'!$A$2:$A$166,"&gt;"&amp;EDATE('Previdência_(série)'!$A21,-12),'Previdência_(série)'!$A$2:$A$166,"&lt;"&amp;EDATE(A21,1))</f>
        <v>17877009607.3</v>
      </c>
      <c r="K21" s="5">
        <v>28866722417.1</v>
      </c>
      <c r="L21" s="5">
        <f>IF(MONTH('Previdência_(série)'!$A21)=1,'Previdência_(série)'!$K21,'Previdência_(série)'!$K21-K20)</f>
        <v>3651070504.12</v>
      </c>
      <c r="M21" s="5">
        <f>SUMIFS('Previdência_(série)'!$L$2:$L$166,'Previdência_(série)'!$A$2:$A$166,"&gt;"&amp;EDATE('Previdência_(série)'!$A21,-12),'Previdência_(série)'!$A$2:$A$166,"&lt;"&amp;EDATE(A21,1))</f>
        <v>43674506998.61</v>
      </c>
      <c r="N21" s="5">
        <v>1127665399.94</v>
      </c>
      <c r="O21" s="5">
        <f>IF(MONTH('Previdência_(série)'!$A21)=1,'Previdência_(série)'!$N21,'Previdência_(série)'!$N21-N20)</f>
        <v>148558696.12</v>
      </c>
      <c r="P21" s="5">
        <f>SUMIFS('Previdência_(série)'!$O$2:$O$166,'Previdência_(série)'!$A$2:$A$166,"&gt;"&amp;EDATE('Previdência_(série)'!$A21,-12),'Previdência_(série)'!$A$2:$A$166,"&lt;"&amp;EDATE(A21,1))</f>
        <v>1655885426.68</v>
      </c>
      <c r="Q21" s="5">
        <v>13538650894.45</v>
      </c>
      <c r="R21" s="5">
        <f>IF(MONTH('Previdência_(série)'!$A21)=1,'Previdência_(série)'!$Q21,'Previdência_(série)'!$Q21-Q20)</f>
        <v>1623721910.21</v>
      </c>
      <c r="S21" s="5">
        <f>SUMIFS('Previdência_(série)'!$R$2:$R$166,'Previdência_(série)'!$A$2:$A$166,"&gt;"&amp;EDATE('Previdência_(série)'!$A21,-12),'Previdência_(série)'!$A$2:$A$166,"&lt;"&amp;EDATE(A21,1))</f>
        <v>20871639148.52</v>
      </c>
      <c r="T21" s="5"/>
      <c r="U21" s="5">
        <f>IF(MONTH('Previdência_(série)'!$A21)=1,'Previdência_(série)'!$T21,'Previdência_(série)'!$T21-T20)</f>
        <v>0</v>
      </c>
      <c r="V21" s="5">
        <f>SUMIFS('Previdência_(série)'!$U$2:$U$166,'Previdência_(série)'!$A$2:$A$166,"&gt;"&amp;EDATE('Previdência_(série)'!$A21,-12),'Previdência_(série)'!$A$2:$A$166,"&lt;"&amp;EDATE(A21,1))</f>
        <v>0</v>
      </c>
      <c r="W21" s="5"/>
      <c r="X21" s="5">
        <f>IF(MONTH('Previdência_(série)'!$A21)=1,'Previdência_(série)'!$W21,'Previdência_(série)'!$W21-W20)</f>
        <v>0</v>
      </c>
      <c r="Y21" s="5">
        <f>SUMIFS('Previdência_(série)'!$X$2:$X$166,'Previdência_(série)'!$A$2:$A$166,"&gt;"&amp;EDATE('Previdência_(série)'!$A21,-12),'Previdência_(série)'!$A$2:$A$166,"&lt;"&amp;EDATE(A21,1))</f>
        <v>0</v>
      </c>
      <c r="Z21" s="199"/>
      <c r="AA21" s="1"/>
      <c r="AB21" s="1"/>
      <c r="AC21" s="1"/>
      <c r="AD21" s="4" t="s">
        <v>593</v>
      </c>
      <c r="AE21" s="17">
        <v>40026</v>
      </c>
      <c r="AF21" s="4">
        <v>2009</v>
      </c>
    </row>
    <row ht="13.8" outlineLevel="0" r="22">
      <c r="A22" s="17">
        <v>40057</v>
      </c>
      <c r="B22" s="5">
        <v>125474739296.48</v>
      </c>
      <c r="C22" s="5">
        <f>IF(MONTH('Previdência_(série)'!$A22)=1,'Previdência_(série)'!$B22,'Previdência_(série)'!$B22-B21)</f>
        <v>13378898200.69</v>
      </c>
      <c r="D22" s="5">
        <f>SUMIFS('Previdência_(série)'!$C$2:$C$166,'Previdência_(série)'!$A$2:$A$166,"&gt;"&amp;EDATE('Previdência_(série)'!$A22,-12),'Previdência_(série)'!$A$2:$A$166,"&lt;"&amp;EDATE(A22,1))</f>
        <v>173543844691.69</v>
      </c>
      <c r="E22" s="5">
        <v>164915333830.83</v>
      </c>
      <c r="F22" s="5">
        <f>IF(MONTH('Previdência_(série)'!$A22)=1,'Previdência_(série)'!$E22,'Previdência_(série)'!$E22-E21)</f>
        <v>28151980379.39</v>
      </c>
      <c r="G22" s="5">
        <f>SUMIFS('Previdência_(série)'!$F$2:$F$166,'Previdência_(série)'!$A$2:$A$166,"&gt;"&amp;EDATE('Previdência_(série)'!$A22,-12),'Previdência_(série)'!$A$2:$A$166,"&lt;"&amp;EDATE(A22,1))</f>
        <v>221847970037.53</v>
      </c>
      <c r="H22" s="5">
        <v>12412337854.94</v>
      </c>
      <c r="I22" s="5">
        <f>IF(MONTH('Previdência_(série)'!$A22)=1,'Previdência_(série)'!$H22,'Previdência_(série)'!$H22-H21)</f>
        <v>1435380680.37</v>
      </c>
      <c r="J22" s="5">
        <f>SUMIFS('Previdência_(série)'!$I$2:$I$166,'Previdência_(série)'!$A$2:$A$166,"&gt;"&amp;EDATE('Previdência_(série)'!$A22,-12),'Previdência_(série)'!$A$2:$A$166,"&lt;"&amp;EDATE(A22,1))</f>
        <v>18139525834.45</v>
      </c>
      <c r="K22" s="5">
        <v>32579682061.33</v>
      </c>
      <c r="L22" s="5">
        <f>IF(MONTH('Previdência_(série)'!$A22)=1,'Previdência_(série)'!$K22,'Previdência_(série)'!$K22-K21)</f>
        <v>3712959644.23</v>
      </c>
      <c r="M22" s="5">
        <f>SUMIFS('Previdência_(série)'!$L$2:$L$166,'Previdência_(série)'!$A$2:$A$166,"&gt;"&amp;EDATE('Previdência_(série)'!$A22,-12),'Previdência_(série)'!$A$2:$A$166,"&lt;"&amp;EDATE(A22,1))</f>
        <v>44269504274.14</v>
      </c>
      <c r="N22" s="5">
        <v>1239370510.12</v>
      </c>
      <c r="O22" s="5">
        <f>IF(MONTH('Previdência_(série)'!$A22)=1,'Previdência_(série)'!$N22,'Previdência_(série)'!$N22-N21)</f>
        <v>111705110.18</v>
      </c>
      <c r="P22" s="5">
        <f>SUMIFS('Previdência_(série)'!$O$2:$O$166,'Previdência_(série)'!$A$2:$A$166,"&gt;"&amp;EDATE('Previdência_(série)'!$A22,-12),'Previdência_(série)'!$A$2:$A$166,"&lt;"&amp;EDATE(A22,1))</f>
        <v>1639749624.32</v>
      </c>
      <c r="Q22" s="5">
        <v>15151808874.56</v>
      </c>
      <c r="R22" s="5">
        <f>IF(MONTH('Previdência_(série)'!$A22)=1,'Previdência_(série)'!$Q22,'Previdência_(série)'!$Q22-Q21)</f>
        <v>1613157980.11</v>
      </c>
      <c r="S22" s="5">
        <f>SUMIFS('Previdência_(série)'!$R$2:$R$166,'Previdência_(série)'!$A$2:$A$166,"&gt;"&amp;EDATE('Previdência_(série)'!$A22,-12),'Previdência_(série)'!$A$2:$A$166,"&lt;"&amp;EDATE(A22,1))</f>
        <v>20922804897.57</v>
      </c>
      <c r="T22" s="5"/>
      <c r="U22" s="5">
        <f>IF(MONTH('Previdência_(série)'!$A22)=1,'Previdência_(série)'!$T22,'Previdência_(série)'!$T22-T21)</f>
        <v>0</v>
      </c>
      <c r="V22" s="5">
        <f>SUMIFS('Previdência_(série)'!$U$2:$U$166,'Previdência_(série)'!$A$2:$A$166,"&gt;"&amp;EDATE('Previdência_(série)'!$A22,-12),'Previdência_(série)'!$A$2:$A$166,"&lt;"&amp;EDATE(A22,1))</f>
        <v>0</v>
      </c>
      <c r="W22" s="5"/>
      <c r="X22" s="5">
        <f>IF(MONTH('Previdência_(série)'!$A22)=1,'Previdência_(série)'!$W22,'Previdência_(série)'!$W22-W21)</f>
        <v>0</v>
      </c>
      <c r="Y22" s="5">
        <f>SUMIFS('Previdência_(série)'!$X$2:$X$166,'Previdência_(série)'!$A$2:$A$166,"&gt;"&amp;EDATE('Previdência_(série)'!$A22,-12),'Previdência_(série)'!$A$2:$A$166,"&lt;"&amp;EDATE(A22,1))</f>
        <v>0</v>
      </c>
      <c r="Z22" s="199"/>
      <c r="AA22" s="1"/>
      <c r="AB22" s="1"/>
      <c r="AC22" s="1"/>
      <c r="AD22" s="4" t="s">
        <v>594</v>
      </c>
      <c r="AE22" s="17">
        <v>40057</v>
      </c>
      <c r="AF22" s="4">
        <v>2009</v>
      </c>
    </row>
    <row ht="13.8" outlineLevel="0" r="23">
      <c r="A23" s="17">
        <v>40087</v>
      </c>
      <c r="B23" s="5">
        <v>141148770460.83</v>
      </c>
      <c r="C23" s="5">
        <f>IF(MONTH('Previdência_(série)'!$A23)=1,'Previdência_(série)'!$B23,'Previdência_(série)'!$B23-B22)</f>
        <v>15674031164.35</v>
      </c>
      <c r="D23" s="5">
        <f>SUMIFS('Previdência_(série)'!$C$2:$C$166,'Previdência_(série)'!$A$2:$A$166,"&gt;"&amp;EDATE('Previdência_(série)'!$A23,-12),'Previdência_(série)'!$A$2:$A$166,"&lt;"&amp;EDATE(A23,1))</f>
        <v>175564760237.66</v>
      </c>
      <c r="E23" s="5">
        <v>182641789380.2</v>
      </c>
      <c r="F23" s="5">
        <f>IF(MONTH('Previdência_(série)'!$A23)=1,'Previdência_(série)'!$E23,'Previdência_(série)'!$E23-E22)</f>
        <v>17726455549.37</v>
      </c>
      <c r="G23" s="5">
        <f>SUMIFS('Previdência_(série)'!$F$2:$F$166,'Previdência_(série)'!$A$2:$A$166,"&gt;"&amp;EDATE('Previdência_(série)'!$A23,-12),'Previdência_(série)'!$A$2:$A$166,"&lt;"&amp;EDATE(A23,1))</f>
        <v>223766081155.23</v>
      </c>
      <c r="H23" s="5">
        <v>13891489533.59</v>
      </c>
      <c r="I23" s="5">
        <f>IF(MONTH('Previdência_(série)'!$A23)=1,'Previdência_(série)'!$H23,'Previdência_(série)'!$H23-H22)</f>
        <v>1479151678.65</v>
      </c>
      <c r="J23" s="5">
        <f>SUMIFS('Previdência_(série)'!$I$2:$I$166,'Previdência_(série)'!$A$2:$A$166,"&gt;"&amp;EDATE('Previdência_(série)'!$A23,-12),'Previdência_(série)'!$A$2:$A$166,"&lt;"&amp;EDATE(A23,1))</f>
        <v>18169253046.96</v>
      </c>
      <c r="K23" s="5">
        <v>36274170111.66</v>
      </c>
      <c r="L23" s="5">
        <f>IF(MONTH('Previdência_(série)'!$A23)=1,'Previdência_(série)'!$K23,'Previdência_(série)'!$K23-K22)</f>
        <v>3694488050.33</v>
      </c>
      <c r="M23" s="5">
        <f>SUMIFS('Previdência_(série)'!$L$2:$L$166,'Previdência_(série)'!$A$2:$A$166,"&gt;"&amp;EDATE('Previdência_(série)'!$A23,-12),'Previdência_(série)'!$A$2:$A$166,"&lt;"&amp;EDATE(A23,1))</f>
        <v>44911961799.44</v>
      </c>
      <c r="N23" s="5">
        <v>1386754787.95</v>
      </c>
      <c r="O23" s="5">
        <f>IF(MONTH('Previdência_(série)'!$A23)=1,'Previdência_(série)'!$N23,'Previdência_(série)'!$N23-N22)</f>
        <v>147384277.83</v>
      </c>
      <c r="P23" s="5">
        <f>SUMIFS('Previdência_(série)'!$O$2:$O$166,'Previdência_(série)'!$A$2:$A$166,"&gt;"&amp;EDATE('Previdência_(série)'!$A23,-12),'Previdência_(série)'!$A$2:$A$166,"&lt;"&amp;EDATE(A23,1))</f>
        <v>1655252309.57</v>
      </c>
      <c r="Q23" s="5">
        <v>16768199041.09</v>
      </c>
      <c r="R23" s="5">
        <f>IF(MONTH('Previdência_(série)'!$A23)=1,'Previdência_(série)'!$Q23,'Previdência_(série)'!$Q23-Q22)</f>
        <v>1616390166.53</v>
      </c>
      <c r="S23" s="5">
        <f>SUMIFS('Previdência_(série)'!$R$2:$R$166,'Previdência_(série)'!$A$2:$A$166,"&gt;"&amp;EDATE('Previdência_(série)'!$A23,-12),'Previdência_(série)'!$A$2:$A$166,"&lt;"&amp;EDATE(A23,1))</f>
        <v>20913769507.12</v>
      </c>
      <c r="T23" s="5"/>
      <c r="U23" s="5">
        <f>IF(MONTH('Previdência_(série)'!$A23)=1,'Previdência_(série)'!$T23,'Previdência_(série)'!$T23-T22)</f>
        <v>0</v>
      </c>
      <c r="V23" s="5">
        <f>SUMIFS('Previdência_(série)'!$U$2:$U$166,'Previdência_(série)'!$A$2:$A$166,"&gt;"&amp;EDATE('Previdência_(série)'!$A23,-12),'Previdência_(série)'!$A$2:$A$166,"&lt;"&amp;EDATE(A23,1))</f>
        <v>0</v>
      </c>
      <c r="W23" s="5"/>
      <c r="X23" s="5">
        <f>IF(MONTH('Previdência_(série)'!$A23)=1,'Previdência_(série)'!$W23,'Previdência_(série)'!$W23-W22)</f>
        <v>0</v>
      </c>
      <c r="Y23" s="5">
        <f>SUMIFS('Previdência_(série)'!$X$2:$X$166,'Previdência_(série)'!$A$2:$A$166,"&gt;"&amp;EDATE('Previdência_(série)'!$A23,-12),'Previdência_(série)'!$A$2:$A$166,"&lt;"&amp;EDATE(A23,1))</f>
        <v>0</v>
      </c>
      <c r="Z23" s="199"/>
      <c r="AA23" s="1"/>
      <c r="AB23" s="1"/>
      <c r="AC23" s="1"/>
      <c r="AD23" s="4" t="s">
        <v>595</v>
      </c>
      <c r="AE23" s="17">
        <v>40087</v>
      </c>
      <c r="AF23" s="4">
        <v>2009</v>
      </c>
    </row>
    <row ht="13.8" outlineLevel="0" r="24">
      <c r="A24" s="17">
        <v>40118</v>
      </c>
      <c r="B24" s="5">
        <v>157222915641.72</v>
      </c>
      <c r="C24" s="5">
        <f>IF(MONTH('Previdência_(série)'!$A24)=1,'Previdência_(série)'!$B24,'Previdência_(série)'!$B24-B23)</f>
        <v>16074145180.89</v>
      </c>
      <c r="D24" s="5">
        <f>SUMIFS('Previdência_(série)'!$C$2:$C$166,'Previdência_(série)'!$A$2:$A$166,"&gt;"&amp;EDATE('Previdência_(série)'!$A24,-12),'Previdência_(série)'!$A$2:$A$166,"&lt;"&amp;EDATE(A24,1))</f>
        <v>178047903625.17</v>
      </c>
      <c r="E24" s="5">
        <v>208798169301.3</v>
      </c>
      <c r="F24" s="5">
        <f>IF(MONTH('Previdência_(série)'!$A24)=1,'Previdência_(série)'!$E24,'Previdência_(série)'!$E24-E23)</f>
        <v>26156379921.1</v>
      </c>
      <c r="G24" s="5">
        <f>SUMIFS('Previdência_(série)'!$F$2:$F$166,'Previdência_(série)'!$A$2:$A$166,"&gt;"&amp;EDATE('Previdência_(série)'!$A24,-12),'Previdência_(série)'!$A$2:$A$166,"&lt;"&amp;EDATE(A24,1))</f>
        <v>230430059774.27</v>
      </c>
      <c r="H24" s="5">
        <v>16446087413.79</v>
      </c>
      <c r="I24" s="5">
        <f>IF(MONTH('Previdência_(série)'!$A24)=1,'Previdência_(série)'!$H24,'Previdência_(série)'!$H24-H23)</f>
        <v>2554597880.2</v>
      </c>
      <c r="J24" s="5">
        <f>SUMIFS('Previdência_(série)'!$I$2:$I$166,'Previdência_(série)'!$A$2:$A$166,"&gt;"&amp;EDATE('Previdência_(série)'!$A24,-12),'Previdência_(série)'!$A$2:$A$166,"&lt;"&amp;EDATE(A24,1))</f>
        <v>18406810981.76</v>
      </c>
      <c r="K24" s="5">
        <v>42054842349.07</v>
      </c>
      <c r="L24" s="5">
        <f>IF(MONTH('Previdência_(série)'!$A24)=1,'Previdência_(série)'!$K24,'Previdência_(série)'!$K24-K23)</f>
        <v>5780672237.41</v>
      </c>
      <c r="M24" s="5">
        <f>SUMIFS('Previdência_(série)'!$L$2:$L$166,'Previdência_(série)'!$A$2:$A$166,"&gt;"&amp;EDATE('Previdência_(série)'!$A24,-12),'Previdência_(série)'!$A$2:$A$166,"&lt;"&amp;EDATE(A24,1))</f>
        <v>46052005858.75</v>
      </c>
      <c r="N24" s="5">
        <v>1533960443.82</v>
      </c>
      <c r="O24" s="5">
        <f>IF(MONTH('Previdência_(série)'!$A24)=1,'Previdência_(série)'!$N24,'Previdência_(série)'!$N24-N23)</f>
        <v>147205655.87</v>
      </c>
      <c r="P24" s="5">
        <f>SUMIFS('Previdência_(série)'!$O$2:$O$166,'Previdência_(série)'!$A$2:$A$166,"&gt;"&amp;EDATE('Previdência_(série)'!$A24,-12),'Previdência_(série)'!$A$2:$A$166,"&lt;"&amp;EDATE(A24,1))</f>
        <v>1667248351.29</v>
      </c>
      <c r="Q24" s="5">
        <v>19265024177.58</v>
      </c>
      <c r="R24" s="5">
        <f>IF(MONTH('Previdência_(série)'!$A24)=1,'Previdência_(série)'!$Q24,'Previdência_(série)'!$Q24-Q23)</f>
        <v>2496825136.49</v>
      </c>
      <c r="S24" s="5">
        <f>SUMIFS('Previdência_(série)'!$R$2:$R$166,'Previdência_(série)'!$A$2:$A$166,"&gt;"&amp;EDATE('Previdência_(série)'!$A24,-12),'Previdência_(série)'!$A$2:$A$166,"&lt;"&amp;EDATE(A24,1))</f>
        <v>20928467797.32</v>
      </c>
      <c r="T24" s="5"/>
      <c r="U24" s="5">
        <f>IF(MONTH('Previdência_(série)'!$A24)=1,'Previdência_(série)'!$T24,'Previdência_(série)'!$T24-T23)</f>
        <v>0</v>
      </c>
      <c r="V24" s="5">
        <f>SUMIFS('Previdência_(série)'!$U$2:$U$166,'Previdência_(série)'!$A$2:$A$166,"&gt;"&amp;EDATE('Previdência_(série)'!$A24,-12),'Previdência_(série)'!$A$2:$A$166,"&lt;"&amp;EDATE(A24,1))</f>
        <v>0</v>
      </c>
      <c r="W24" s="5"/>
      <c r="X24" s="5">
        <f>IF(MONTH('Previdência_(série)'!$A24)=1,'Previdência_(série)'!$W24,'Previdência_(série)'!$W24-W23)</f>
        <v>0</v>
      </c>
      <c r="Y24" s="5">
        <f>SUMIFS('Previdência_(série)'!$X$2:$X$166,'Previdência_(série)'!$A$2:$A$166,"&gt;"&amp;EDATE('Previdência_(série)'!$A24,-12),'Previdência_(série)'!$A$2:$A$166,"&lt;"&amp;EDATE(A24,1))</f>
        <v>0</v>
      </c>
      <c r="Z24" s="199"/>
      <c r="AA24" s="1"/>
      <c r="AB24" s="1"/>
      <c r="AC24" s="1"/>
      <c r="AD24" s="4" t="s">
        <v>596</v>
      </c>
      <c r="AE24" s="17">
        <v>40118</v>
      </c>
      <c r="AF24" s="4">
        <v>2009</v>
      </c>
    </row>
    <row ht="13.8" outlineLevel="0" r="25">
      <c r="A25" s="17">
        <v>40148</v>
      </c>
      <c r="B25" s="5">
        <v>181630290589.33</v>
      </c>
      <c r="C25" s="5">
        <f>IF(MONTH('Previdência_(série)'!$A25)=1,'Previdência_(série)'!$B25,'Previdência_(série)'!$B25-B24)</f>
        <v>24407374947.61</v>
      </c>
      <c r="D25" s="5">
        <f>SUMIFS('Previdência_(série)'!$C$2:$C$166,'Previdência_(série)'!$A$2:$A$166,"&gt;"&amp;EDATE('Previdência_(série)'!$A25,-12),'Previdência_(série)'!$A$2:$A$166,"&lt;"&amp;EDATE(A25,1))</f>
        <v>181630290589.33</v>
      </c>
      <c r="E25" s="5">
        <v>226312495101.54</v>
      </c>
      <c r="F25" s="5">
        <f>IF(MONTH('Previdência_(série)'!$A25)=1,'Previdência_(série)'!$E25,'Previdência_(série)'!$E25-E24)</f>
        <v>17514325800.24</v>
      </c>
      <c r="G25" s="5">
        <f>SUMIFS('Previdência_(série)'!$F$2:$F$166,'Previdência_(série)'!$A$2:$A$166,"&gt;"&amp;EDATE('Previdência_(série)'!$A25,-12),'Previdência_(série)'!$A$2:$A$166,"&lt;"&amp;EDATE(A25,1))</f>
        <v>226312495101.54</v>
      </c>
      <c r="H25" s="5">
        <v>18510842510.38</v>
      </c>
      <c r="I25" s="5">
        <f>IF(MONTH('Previdência_(série)'!$A25)=1,'Previdência_(série)'!$H25,'Previdência_(série)'!$H25-H24)</f>
        <v>2064755096.59</v>
      </c>
      <c r="J25" s="5">
        <f>SUMIFS('Previdência_(série)'!$I$2:$I$166,'Previdência_(série)'!$A$2:$A$166,"&gt;"&amp;EDATE('Previdência_(série)'!$A25,-12),'Previdência_(série)'!$A$2:$A$166,"&lt;"&amp;EDATE(A25,1))</f>
        <v>18510842510.38</v>
      </c>
      <c r="K25" s="5">
        <v>46393679910.33</v>
      </c>
      <c r="L25" s="5">
        <f>IF(MONTH('Previdência_(série)'!$A25)=1,'Previdência_(série)'!$K25,'Previdência_(série)'!$K25-K24)</f>
        <v>4338837561.26</v>
      </c>
      <c r="M25" s="5">
        <f>SUMIFS('Previdência_(série)'!$L$2:$L$166,'Previdência_(série)'!$A$2:$A$166,"&gt;"&amp;EDATE('Previdência_(série)'!$A25,-12),'Previdência_(série)'!$A$2:$A$166,"&lt;"&amp;EDATE(A25,1))</f>
        <v>46393679910.33</v>
      </c>
      <c r="N25" s="5">
        <v>1681260718.44</v>
      </c>
      <c r="O25" s="5">
        <f>IF(MONTH('Previdência_(série)'!$A25)=1,'Previdência_(série)'!$N25,'Previdência_(série)'!$N25-N24)</f>
        <v>147300274.62</v>
      </c>
      <c r="P25" s="5">
        <f>SUMIFS('Previdência_(série)'!$O$2:$O$166,'Previdência_(série)'!$A$2:$A$166,"&gt;"&amp;EDATE('Previdência_(série)'!$A25,-12),'Previdência_(série)'!$A$2:$A$166,"&lt;"&amp;EDATE(A25,1))</f>
        <v>1681260718.44</v>
      </c>
      <c r="Q25" s="5">
        <v>20813316920</v>
      </c>
      <c r="R25" s="5">
        <f>IF(MONTH('Previdência_(série)'!$A25)=1,'Previdência_(série)'!$Q25,'Previdência_(série)'!$Q25-Q24)</f>
        <v>1548292742.42</v>
      </c>
      <c r="S25" s="5">
        <f>SUMIFS('Previdência_(série)'!$R$2:$R$166,'Previdência_(série)'!$A$2:$A$166,"&gt;"&amp;EDATE('Previdência_(série)'!$A25,-12),'Previdência_(série)'!$A$2:$A$166,"&lt;"&amp;EDATE(A25,1))</f>
        <v>20813316920</v>
      </c>
      <c r="T25" s="5"/>
      <c r="U25" s="5">
        <f>IF(MONTH('Previdência_(série)'!$A25)=1,'Previdência_(série)'!$T25,'Previdência_(série)'!$T25-T24)</f>
        <v>0</v>
      </c>
      <c r="V25" s="5">
        <f>SUMIFS('Previdência_(série)'!$U$2:$U$166,'Previdência_(série)'!$A$2:$A$166,"&gt;"&amp;EDATE('Previdência_(série)'!$A25,-12),'Previdência_(série)'!$A$2:$A$166,"&lt;"&amp;EDATE(A25,1))</f>
        <v>0</v>
      </c>
      <c r="W25" s="5"/>
      <c r="X25" s="5">
        <f>IF(MONTH('Previdência_(série)'!$A25)=1,'Previdência_(série)'!$W25,'Previdência_(série)'!$W25-W24)</f>
        <v>0</v>
      </c>
      <c r="Y25" s="5">
        <f>SUMIFS('Previdência_(série)'!$X$2:$X$166,'Previdência_(série)'!$A$2:$A$166,"&gt;"&amp;EDATE('Previdência_(série)'!$A25,-12),'Previdência_(série)'!$A$2:$A$166,"&lt;"&amp;EDATE(A25,1))</f>
        <v>0</v>
      </c>
      <c r="Z25" s="199"/>
      <c r="AA25" s="1"/>
      <c r="AB25" s="1"/>
      <c r="AC25" s="1"/>
      <c r="AD25" s="4" t="s">
        <v>597</v>
      </c>
      <c r="AE25" s="17">
        <v>40148</v>
      </c>
      <c r="AF25" s="4">
        <v>2009</v>
      </c>
    </row>
    <row ht="13.8" outlineLevel="0" r="26">
      <c r="A26" s="17">
        <v>40179</v>
      </c>
      <c r="B26" s="5">
        <v>15946382635.79</v>
      </c>
      <c r="C26" s="5">
        <f>IF(MONTH('Previdência_(série)'!$A26)=1,'Previdência_(série)'!$B26,'Previdência_(série)'!$B26-B25)</f>
        <v>15946382635.79</v>
      </c>
      <c r="D26" s="5">
        <f>SUMIFS('Previdência_(série)'!$C$2:$C$166,'Previdência_(série)'!$A$2:$A$166,"&gt;"&amp;EDATE('Previdência_(série)'!$A26,-12),'Previdência_(série)'!$A$2:$A$166,"&lt;"&amp;EDATE(A26,1))</f>
        <v>184438622125.07</v>
      </c>
      <c r="E26" s="5">
        <v>18822738534.78</v>
      </c>
      <c r="F26" s="5">
        <f>IF(MONTH('Previdência_(série)'!$A26)=1,'Previdência_(série)'!$E26,'Previdência_(série)'!$E26-E25)</f>
        <v>18822738534.78</v>
      </c>
      <c r="G26" s="5">
        <f>SUMIFS('Previdência_(série)'!$F$2:$F$166,'Previdência_(série)'!$A$2:$A$166,"&gt;"&amp;EDATE('Previdência_(série)'!$A26,-12),'Previdência_(série)'!$A$2:$A$166,"&lt;"&amp;EDATE(A26,1))</f>
        <v>226658051586.87</v>
      </c>
      <c r="H26" s="5">
        <v>1469087641.81</v>
      </c>
      <c r="I26" s="5">
        <f>IF(MONTH('Previdência_(série)'!$A26)=1,'Previdência_(série)'!$H26,'Previdência_(série)'!$H26-H25)</f>
        <v>1469087641.81</v>
      </c>
      <c r="J26" s="5">
        <f>SUMIFS('Previdência_(série)'!$I$2:$I$166,'Previdência_(série)'!$A$2:$A$166,"&gt;"&amp;EDATE('Previdência_(série)'!$A26,-12),'Previdência_(série)'!$A$2:$A$166,"&lt;"&amp;EDATE(A26,1))</f>
        <v>18580550852.88</v>
      </c>
      <c r="K26" s="5">
        <v>3879005222.63</v>
      </c>
      <c r="L26" s="5">
        <f>IF(MONTH('Previdência_(série)'!$A26)=1,'Previdência_(série)'!$K26,'Previdência_(série)'!$K26-K25)</f>
        <v>3879005222.63</v>
      </c>
      <c r="M26" s="5">
        <f>SUMIFS('Previdência_(série)'!$L$2:$L$166,'Previdência_(série)'!$A$2:$A$166,"&gt;"&amp;EDATE('Previdência_(série)'!$A26,-12),'Previdência_(série)'!$A$2:$A$166,"&lt;"&amp;EDATE(A26,1))</f>
        <v>46387589749.98</v>
      </c>
      <c r="N26" s="5">
        <v>148376813.23</v>
      </c>
      <c r="O26" s="5">
        <f>IF(MONTH('Previdência_(série)'!$A26)=1,'Previdência_(série)'!$N26,'Previdência_(série)'!$N26-N25)</f>
        <v>148376813.23</v>
      </c>
      <c r="P26" s="5">
        <f>SUMIFS('Previdência_(série)'!$O$2:$O$166,'Previdência_(série)'!$A$2:$A$166,"&gt;"&amp;EDATE('Previdência_(série)'!$A26,-12),'Previdência_(série)'!$A$2:$A$166,"&lt;"&amp;EDATE(A26,1))</f>
        <v>1663960881.52</v>
      </c>
      <c r="Q26" s="5">
        <v>1529358612.27</v>
      </c>
      <c r="R26" s="5">
        <f>IF(MONTH('Previdência_(série)'!$A26)=1,'Previdência_(série)'!$Q26,'Previdência_(série)'!$Q26-Q25)</f>
        <v>1529358612.27</v>
      </c>
      <c r="S26" s="5">
        <f>SUMIFS('Previdência_(série)'!$R$2:$R$166,'Previdência_(série)'!$A$2:$A$166,"&gt;"&amp;EDATE('Previdência_(série)'!$A26,-12),'Previdência_(série)'!$A$2:$A$166,"&lt;"&amp;EDATE(A26,1))</f>
        <v>20726925711.11</v>
      </c>
      <c r="T26" s="5"/>
      <c r="U26" s="5" t="s">
        <f>IF(MONTH('Previdência_(série)'!$A26)=1,'Previdência_(série)'!$T26,'Previdência_(série)'!$T26-T25)</f>
      </c>
      <c r="V26" s="5">
        <f>SUMIFS('Previdência_(série)'!$U$2:$U$166,'Previdência_(série)'!$A$2:$A$166,"&gt;"&amp;EDATE('Previdência_(série)'!$A26,-12),'Previdência_(série)'!$A$2:$A$166,"&lt;"&amp;EDATE(A26,1))</f>
        <v>0</v>
      </c>
      <c r="W26" s="5"/>
      <c r="X26" s="5" t="s">
        <f>IF(MONTH('Previdência_(série)'!$A26)=1,'Previdência_(série)'!$W26,'Previdência_(série)'!$W26-W25)</f>
      </c>
      <c r="Y26" s="5">
        <f>SUMIFS('Previdência_(série)'!$X$2:$X$166,'Previdência_(série)'!$A$2:$A$166,"&gt;"&amp;EDATE('Previdência_(série)'!$A26,-12),'Previdência_(série)'!$A$2:$A$166,"&lt;"&amp;EDATE(A26,1))</f>
        <v>0</v>
      </c>
      <c r="Z26" s="199"/>
      <c r="AA26" s="1"/>
      <c r="AB26" s="1"/>
      <c r="AC26" s="1"/>
      <c r="AD26" s="4" t="s">
        <v>586</v>
      </c>
      <c r="AE26" s="17">
        <v>40179</v>
      </c>
      <c r="AF26" s="4">
        <v>2010</v>
      </c>
    </row>
    <row ht="13.8" outlineLevel="0" r="27">
      <c r="A27" s="17">
        <v>40210</v>
      </c>
      <c r="B27" s="5">
        <v>30711437684.12</v>
      </c>
      <c r="C27" s="5">
        <f>IF(MONTH('Previdência_(série)'!$A27)=1,'Previdência_(série)'!$B27,'Previdência_(série)'!$B27-B26)</f>
        <v>14765055048.33</v>
      </c>
      <c r="D27" s="5">
        <f>SUMIFS('Previdência_(série)'!$C$2:$C$166,'Previdência_(série)'!$A$2:$A$166,"&gt;"&amp;EDATE('Previdência_(série)'!$A27,-12),'Previdência_(série)'!$A$2:$A$166,"&lt;"&amp;EDATE(A27,1))</f>
        <v>185737335017.4</v>
      </c>
      <c r="E27" s="5">
        <v>38009229601.87</v>
      </c>
      <c r="F27" s="5">
        <f>IF(MONTH('Previdência_(série)'!$A27)=1,'Previdência_(série)'!$E27,'Previdência_(série)'!$E27-E26)</f>
        <v>19186491067.09</v>
      </c>
      <c r="G27" s="5">
        <f>SUMIFS('Previdência_(série)'!$F$2:$F$166,'Previdência_(série)'!$A$2:$A$166,"&gt;"&amp;EDATE('Previdência_(série)'!$A27,-12),'Previdência_(série)'!$A$2:$A$166,"&lt;"&amp;EDATE(A27,1))</f>
        <v>229045318731.77</v>
      </c>
      <c r="H27" s="5">
        <v>3009845319.69</v>
      </c>
      <c r="I27" s="5">
        <f>IF(MONTH('Previdência_(série)'!$A27)=1,'Previdência_(série)'!$H27,'Previdência_(série)'!$H27-H26)</f>
        <v>1540757677.88</v>
      </c>
      <c r="J27" s="5">
        <f>SUMIFS('Previdência_(série)'!$I$2:$I$166,'Previdência_(série)'!$A$2:$A$166,"&gt;"&amp;EDATE('Previdência_(série)'!$A27,-12),'Previdência_(série)'!$A$2:$A$166,"&lt;"&amp;EDATE(A27,1))</f>
        <v>18966818353.58</v>
      </c>
      <c r="K27" s="5">
        <v>7665519273.38</v>
      </c>
      <c r="L27" s="5">
        <f>IF(MONTH('Previdência_(série)'!$A27)=1,'Previdência_(série)'!$K27,'Previdência_(série)'!$K27-K26)</f>
        <v>3786514050.75</v>
      </c>
      <c r="M27" s="5">
        <f>SUMIFS('Previdência_(série)'!$L$2:$L$166,'Previdência_(série)'!$A$2:$A$166,"&gt;"&amp;EDATE('Previdência_(série)'!$A27,-12),'Previdência_(série)'!$A$2:$A$166,"&lt;"&amp;EDATE(A27,1))</f>
        <v>47009429723.63</v>
      </c>
      <c r="N27" s="5">
        <v>296730429.93</v>
      </c>
      <c r="O27" s="5">
        <f>IF(MONTH('Previdência_(série)'!$A27)=1,'Previdência_(série)'!$N27,'Previdência_(série)'!$N27-N26)</f>
        <v>148353616.7</v>
      </c>
      <c r="P27" s="5">
        <f>SUMIFS('Previdência_(série)'!$O$2:$O$166,'Previdência_(série)'!$A$2:$A$166,"&gt;"&amp;EDATE('Previdência_(série)'!$A27,-12),'Previdência_(série)'!$A$2:$A$166,"&lt;"&amp;EDATE(A27,1))</f>
        <v>1745838320.89</v>
      </c>
      <c r="Q27" s="5">
        <v>3068806573.55</v>
      </c>
      <c r="R27" s="5">
        <f>IF(MONTH('Previdência_(série)'!$A27)=1,'Previdência_(série)'!$Q27,'Previdência_(série)'!$Q27-Q26)</f>
        <v>1539447961.28</v>
      </c>
      <c r="S27" s="5">
        <f>SUMIFS('Previdência_(série)'!$R$2:$R$166,'Previdência_(série)'!$A$2:$A$166,"&gt;"&amp;EDATE('Previdência_(série)'!$A27,-12),'Previdência_(série)'!$A$2:$A$166,"&lt;"&amp;EDATE(A27,1))</f>
        <v>20656880644.72</v>
      </c>
      <c r="T27" s="5"/>
      <c r="U27" s="5">
        <f>IF(MONTH('Previdência_(série)'!$A27)=1,'Previdência_(série)'!$T27,'Previdência_(série)'!$T27-T26)</f>
        <v>0</v>
      </c>
      <c r="V27" s="5">
        <f>SUMIFS('Previdência_(série)'!$U$2:$U$166,'Previdência_(série)'!$A$2:$A$166,"&gt;"&amp;EDATE('Previdência_(série)'!$A27,-12),'Previdência_(série)'!$A$2:$A$166,"&lt;"&amp;EDATE(A27,1))</f>
        <v>0</v>
      </c>
      <c r="W27" s="5"/>
      <c r="X27" s="5">
        <f>IF(MONTH('Previdência_(série)'!$A27)=1,'Previdência_(série)'!$W27,'Previdência_(série)'!$W27-W26)</f>
        <v>0</v>
      </c>
      <c r="Y27" s="5">
        <f>SUMIFS('Previdência_(série)'!$X$2:$X$166,'Previdência_(série)'!$A$2:$A$166,"&gt;"&amp;EDATE('Previdência_(série)'!$A27,-12),'Previdência_(série)'!$A$2:$A$166,"&lt;"&amp;EDATE(A27,1))</f>
        <v>0</v>
      </c>
      <c r="Z27" s="199"/>
      <c r="AA27" s="1"/>
      <c r="AB27" s="1"/>
      <c r="AC27" s="1"/>
      <c r="AD27" s="4" t="s">
        <v>587</v>
      </c>
      <c r="AE27" s="17">
        <v>40210</v>
      </c>
      <c r="AF27" s="4">
        <v>2010</v>
      </c>
    </row>
    <row ht="13.8" outlineLevel="0" r="28">
      <c r="A28" s="17">
        <v>40238</v>
      </c>
      <c r="B28" s="5">
        <v>47020133758.22</v>
      </c>
      <c r="C28" s="5">
        <f>IF(MONTH('Previdência_(série)'!$A28)=1,'Previdência_(série)'!$B28,'Previdência_(série)'!$B28-B27)</f>
        <v>16308696074.1</v>
      </c>
      <c r="D28" s="5">
        <f>SUMIFS('Previdência_(série)'!$C$2:$C$166,'Previdência_(série)'!$A$2:$A$166,"&gt;"&amp;EDATE('Previdência_(série)'!$A28,-12),'Previdência_(série)'!$A$2:$A$166,"&lt;"&amp;EDATE(A28,1))</f>
        <v>188158104749.81</v>
      </c>
      <c r="E28" s="5">
        <v>60482853077.25</v>
      </c>
      <c r="F28" s="5">
        <f>IF(MONTH('Previdência_(série)'!$A28)=1,'Previdência_(série)'!$E28,'Previdência_(série)'!$E28-E27)</f>
        <v>22473623475.38</v>
      </c>
      <c r="G28" s="5">
        <f>SUMIFS('Previdência_(série)'!$F$2:$F$166,'Previdência_(série)'!$A$2:$A$166,"&gt;"&amp;EDATE('Previdência_(série)'!$A28,-12),'Previdência_(série)'!$A$2:$A$166,"&lt;"&amp;EDATE(A28,1))</f>
        <v>234284338210.9</v>
      </c>
      <c r="H28" s="5">
        <v>4469950325.88</v>
      </c>
      <c r="I28" s="5">
        <f>IF(MONTH('Previdência_(série)'!$A28)=1,'Previdência_(série)'!$H28,'Previdência_(série)'!$H28-H27)</f>
        <v>1460105006.19</v>
      </c>
      <c r="J28" s="5">
        <f>SUMIFS('Previdência_(série)'!$I$2:$I$166,'Previdência_(série)'!$A$2:$A$166,"&gt;"&amp;EDATE('Previdência_(série)'!$A28,-12),'Previdência_(série)'!$A$2:$A$166,"&lt;"&amp;EDATE(A28,1))</f>
        <v>18924260390.37</v>
      </c>
      <c r="K28" s="5">
        <v>11800850385.3</v>
      </c>
      <c r="L28" s="5">
        <f>IF(MONTH('Previdência_(série)'!$A28)=1,'Previdência_(série)'!$K28,'Previdência_(série)'!$K28-K27)</f>
        <v>4135331111.92</v>
      </c>
      <c r="M28" s="5">
        <f>SUMIFS('Previdência_(série)'!$L$2:$L$166,'Previdência_(série)'!$A$2:$A$166,"&gt;"&amp;EDATE('Previdência_(série)'!$A28,-12),'Previdência_(série)'!$A$2:$A$166,"&lt;"&amp;EDATE(A28,1))</f>
        <v>47985063099.18</v>
      </c>
      <c r="N28" s="5">
        <v>444869991.42</v>
      </c>
      <c r="O28" s="5">
        <f>IF(MONTH('Previdência_(série)'!$A28)=1,'Previdência_(série)'!$N28,'Previdência_(série)'!$N28-N27)</f>
        <v>148139561.49</v>
      </c>
      <c r="P28" s="5">
        <f>SUMIFS('Previdência_(série)'!$O$2:$O$166,'Previdência_(série)'!$A$2:$A$166,"&gt;"&amp;EDATE('Previdência_(série)'!$A28,-12),'Previdência_(série)'!$A$2:$A$166,"&lt;"&amp;EDATE(A28,1))</f>
        <v>1698303395.14</v>
      </c>
      <c r="Q28" s="5">
        <v>4633449342.91</v>
      </c>
      <c r="R28" s="5">
        <f>IF(MONTH('Previdência_(série)'!$A28)=1,'Previdência_(série)'!$Q28,'Previdência_(série)'!$Q28-Q27)</f>
        <v>1564642769.36</v>
      </c>
      <c r="S28" s="5">
        <f>SUMIFS('Previdência_(série)'!$R$2:$R$166,'Previdência_(série)'!$A$2:$A$166,"&gt;"&amp;EDATE('Previdência_(série)'!$A28,-12),'Previdência_(série)'!$A$2:$A$166,"&lt;"&amp;EDATE(A28,1))</f>
        <v>20559580677.91</v>
      </c>
      <c r="T28" s="5"/>
      <c r="U28" s="5">
        <f>IF(MONTH('Previdência_(série)'!$A28)=1,'Previdência_(série)'!$T28,'Previdência_(série)'!$T28-T27)</f>
        <v>0</v>
      </c>
      <c r="V28" s="5">
        <f>SUMIFS('Previdência_(série)'!$U$2:$U$166,'Previdência_(série)'!$A$2:$A$166,"&gt;"&amp;EDATE('Previdência_(série)'!$A28,-12),'Previdência_(série)'!$A$2:$A$166,"&lt;"&amp;EDATE(A28,1))</f>
        <v>0</v>
      </c>
      <c r="W28" s="5"/>
      <c r="X28" s="5">
        <f>IF(MONTH('Previdência_(série)'!$A28)=1,'Previdência_(série)'!$W28,'Previdência_(série)'!$W28-W27)</f>
        <v>0</v>
      </c>
      <c r="Y28" s="5">
        <f>SUMIFS('Previdência_(série)'!$X$2:$X$166,'Previdência_(série)'!$A$2:$A$166,"&gt;"&amp;EDATE('Previdência_(série)'!$A28,-12),'Previdência_(série)'!$A$2:$A$166,"&lt;"&amp;EDATE(A28,1))</f>
        <v>0</v>
      </c>
      <c r="Z28" s="199"/>
      <c r="AA28" s="1"/>
      <c r="AB28" s="1"/>
      <c r="AC28" s="1"/>
      <c r="AD28" s="4" t="s">
        <v>588</v>
      </c>
      <c r="AE28" s="17">
        <v>40238</v>
      </c>
      <c r="AF28" s="4">
        <v>2010</v>
      </c>
    </row>
    <row ht="13.8" outlineLevel="0" r="29">
      <c r="A29" s="17">
        <v>40269</v>
      </c>
      <c r="B29" s="5">
        <v>63836374924.15</v>
      </c>
      <c r="C29" s="5">
        <f>IF(MONTH('Previdência_(série)'!$A29)=1,'Previdência_(série)'!$B29,'Previdência_(série)'!$B29-B28)</f>
        <v>16816241165.93</v>
      </c>
      <c r="D29" s="5">
        <f>SUMIFS('Previdência_(série)'!$C$2:$C$166,'Previdência_(série)'!$A$2:$A$166,"&gt;"&amp;EDATE('Previdência_(série)'!$A29,-12),'Previdência_(série)'!$A$2:$A$166,"&lt;"&amp;EDATE(A29,1))</f>
        <v>190690431890.79</v>
      </c>
      <c r="E29" s="5">
        <v>79877775282.36</v>
      </c>
      <c r="F29" s="5">
        <f>IF(MONTH('Previdência_(série)'!$A29)=1,'Previdência_(série)'!$E29,'Previdência_(série)'!$E29-E28)</f>
        <v>19394922205.11</v>
      </c>
      <c r="G29" s="5">
        <f>SUMIFS('Previdência_(série)'!$F$2:$F$166,'Previdência_(série)'!$A$2:$A$166,"&gt;"&amp;EDATE('Previdência_(série)'!$A29,-12),'Previdência_(série)'!$A$2:$A$166,"&lt;"&amp;EDATE(A29,1))</f>
        <v>236468276671.41</v>
      </c>
      <c r="H29" s="5">
        <v>6025094376.64</v>
      </c>
      <c r="I29" s="5">
        <f>IF(MONTH('Previdência_(série)'!$A29)=1,'Previdência_(série)'!$H29,'Previdência_(série)'!$H29-H28)</f>
        <v>1555144050.76</v>
      </c>
      <c r="J29" s="5">
        <f>SUMIFS('Previdência_(série)'!$I$2:$I$166,'Previdência_(série)'!$A$2:$A$166,"&gt;"&amp;EDATE('Previdência_(série)'!$A29,-12),'Previdência_(série)'!$A$2:$A$166,"&lt;"&amp;EDATE(A29,1))</f>
        <v>19156326484.68</v>
      </c>
      <c r="K29" s="5">
        <v>15642440660.16</v>
      </c>
      <c r="L29" s="5">
        <f>IF(MONTH('Previdência_(série)'!$A29)=1,'Previdência_(série)'!$K29,'Previdência_(série)'!$K29-K28)</f>
        <v>3841590274.86</v>
      </c>
      <c r="M29" s="5">
        <f>SUMIFS('Previdência_(série)'!$L$2:$L$166,'Previdência_(série)'!$A$2:$A$166,"&gt;"&amp;EDATE('Previdência_(série)'!$A29,-12),'Previdência_(série)'!$A$2:$A$166,"&lt;"&amp;EDATE(A29,1))</f>
        <v>48606619676.35</v>
      </c>
      <c r="N29" s="5">
        <v>594133925.77</v>
      </c>
      <c r="O29" s="5">
        <f>IF(MONTH('Previdência_(série)'!$A29)=1,'Previdência_(série)'!$N29,'Previdência_(série)'!$N29-N28)</f>
        <v>149263934.35</v>
      </c>
      <c r="P29" s="5">
        <f>SUMIFS('Previdência_(série)'!$O$2:$O$166,'Previdência_(série)'!$A$2:$A$166,"&gt;"&amp;EDATE('Previdência_(série)'!$A29,-12),'Previdência_(série)'!$A$2:$A$166,"&lt;"&amp;EDATE(A29,1))</f>
        <v>1712668251.44</v>
      </c>
      <c r="Q29" s="5">
        <v>6247735917.31</v>
      </c>
      <c r="R29" s="5">
        <f>IF(MONTH('Previdência_(série)'!$A29)=1,'Previdência_(série)'!$Q29,'Previdência_(série)'!$Q29-Q28)</f>
        <v>1614286574.4</v>
      </c>
      <c r="S29" s="5">
        <f>SUMIFS('Previdência_(série)'!$R$2:$R$166,'Previdência_(série)'!$A$2:$A$166,"&gt;"&amp;EDATE('Previdência_(série)'!$A29,-12),'Previdência_(série)'!$A$2:$A$166,"&lt;"&amp;EDATE(A29,1))</f>
        <v>20514081482.2</v>
      </c>
      <c r="T29" s="5"/>
      <c r="U29" s="5">
        <f>IF(MONTH('Previdência_(série)'!$A29)=1,'Previdência_(série)'!$T29,'Previdência_(série)'!$T29-T28)</f>
        <v>0</v>
      </c>
      <c r="V29" s="5">
        <f>SUMIFS('Previdência_(série)'!$U$2:$U$166,'Previdência_(série)'!$A$2:$A$166,"&gt;"&amp;EDATE('Previdência_(série)'!$A29,-12),'Previdência_(série)'!$A$2:$A$166,"&lt;"&amp;EDATE(A29,1))</f>
        <v>0</v>
      </c>
      <c r="W29" s="5"/>
      <c r="X29" s="5">
        <f>IF(MONTH('Previdência_(série)'!$A29)=1,'Previdência_(série)'!$W29,'Previdência_(série)'!$W29-W28)</f>
        <v>0</v>
      </c>
      <c r="Y29" s="5">
        <f>SUMIFS('Previdência_(série)'!$X$2:$X$166,'Previdência_(série)'!$A$2:$A$166,"&gt;"&amp;EDATE('Previdência_(série)'!$A29,-12),'Previdência_(série)'!$A$2:$A$166,"&lt;"&amp;EDATE(A29,1))</f>
        <v>0</v>
      </c>
      <c r="Z29" s="199"/>
      <c r="AA29" s="1"/>
      <c r="AB29" s="1"/>
      <c r="AC29" s="1"/>
      <c r="AD29" s="4" t="s">
        <v>589</v>
      </c>
      <c r="AE29" s="17">
        <v>40269</v>
      </c>
      <c r="AF29" s="4">
        <v>2010</v>
      </c>
    </row>
    <row ht="13.8" outlineLevel="0" r="30">
      <c r="A30" s="17">
        <v>40299</v>
      </c>
      <c r="B30" s="5">
        <v>80221512306.7</v>
      </c>
      <c r="C30" s="5">
        <f>IF(MONTH('Previdência_(série)'!$A30)=1,'Previdência_(série)'!$B30,'Previdência_(série)'!$B30-B29)</f>
        <v>16385137382.55</v>
      </c>
      <c r="D30" s="5">
        <f>SUMIFS('Previdência_(série)'!$C$2:$C$166,'Previdência_(série)'!$A$2:$A$166,"&gt;"&amp;EDATE('Previdência_(série)'!$A30,-12),'Previdência_(série)'!$A$2:$A$166,"&lt;"&amp;EDATE(A30,1))</f>
        <v>192697737962.45</v>
      </c>
      <c r="E30" s="5">
        <v>99408668462.83</v>
      </c>
      <c r="F30" s="5">
        <f>IF(MONTH('Previdência_(série)'!$A30)=1,'Previdência_(série)'!$E30,'Previdência_(série)'!$E30-E29)</f>
        <v>19530893180.47</v>
      </c>
      <c r="G30" s="5">
        <f>SUMIFS('Previdência_(série)'!$F$2:$F$166,'Previdência_(série)'!$A$2:$A$166,"&gt;"&amp;EDATE('Previdência_(série)'!$A30,-12),'Previdência_(série)'!$A$2:$A$166,"&lt;"&amp;EDATE(A30,1))</f>
        <v>238693948497.32</v>
      </c>
      <c r="H30" s="5">
        <v>7546097769.51</v>
      </c>
      <c r="I30" s="5">
        <f>IF(MONTH('Previdência_(série)'!$A30)=1,'Previdência_(série)'!$H30,'Previdência_(série)'!$H30-H29)</f>
        <v>1521003392.87</v>
      </c>
      <c r="J30" s="5">
        <f>SUMIFS('Previdência_(série)'!$I$2:$I$166,'Previdência_(série)'!$A$2:$A$166,"&gt;"&amp;EDATE('Previdência_(série)'!$A30,-12),'Previdência_(série)'!$A$2:$A$166,"&lt;"&amp;EDATE(A30,1))</f>
        <v>19318982265.49</v>
      </c>
      <c r="K30" s="5">
        <v>19632816082.15</v>
      </c>
      <c r="L30" s="5">
        <f>IF(MONTH('Previdência_(série)'!$A30)=1,'Previdência_(série)'!$K30,'Previdência_(série)'!$K30-K29)</f>
        <v>3990375421.99</v>
      </c>
      <c r="M30" s="5">
        <f>SUMIFS('Previdência_(série)'!$L$2:$L$166,'Previdência_(série)'!$A$2:$A$166,"&gt;"&amp;EDATE('Previdência_(série)'!$A30,-12),'Previdência_(série)'!$A$2:$A$166,"&lt;"&amp;EDATE(A30,1))</f>
        <v>49212153243.79</v>
      </c>
      <c r="N30" s="5">
        <v>743031776.44</v>
      </c>
      <c r="O30" s="5">
        <f>IF(MONTH('Previdência_(série)'!$A30)=1,'Previdência_(série)'!$N30,'Previdência_(série)'!$N30-N29)</f>
        <v>148897850.67</v>
      </c>
      <c r="P30" s="5">
        <f>SUMIFS('Previdência_(série)'!$O$2:$O$166,'Previdência_(série)'!$A$2:$A$166,"&gt;"&amp;EDATE('Previdência_(série)'!$A30,-12),'Previdência_(série)'!$A$2:$A$166,"&lt;"&amp;EDATE(A30,1))</f>
        <v>1727041375.3</v>
      </c>
      <c r="Q30" s="5">
        <v>7797136313.29</v>
      </c>
      <c r="R30" s="5">
        <f>IF(MONTH('Previdência_(série)'!$A30)=1,'Previdência_(série)'!$Q30,'Previdência_(série)'!$Q30-Q29)</f>
        <v>1549400395.98</v>
      </c>
      <c r="S30" s="5">
        <f>SUMIFS('Previdência_(série)'!$R$2:$R$166,'Previdência_(série)'!$A$2:$A$166,"&gt;"&amp;EDATE('Previdência_(série)'!$A30,-12),'Previdência_(série)'!$A$2:$A$166,"&lt;"&amp;EDATE(A30,1))</f>
        <v>20589831032.45</v>
      </c>
      <c r="T30" s="5"/>
      <c r="U30" s="5">
        <f>IF(MONTH('Previdência_(série)'!$A30)=1,'Previdência_(série)'!$T30,'Previdência_(série)'!$T30-T29)</f>
        <v>0</v>
      </c>
      <c r="V30" s="5">
        <f>SUMIFS('Previdência_(série)'!$U$2:$U$166,'Previdência_(série)'!$A$2:$A$166,"&gt;"&amp;EDATE('Previdência_(série)'!$A30,-12),'Previdência_(série)'!$A$2:$A$166,"&lt;"&amp;EDATE(A30,1))</f>
        <v>0</v>
      </c>
      <c r="W30" s="5"/>
      <c r="X30" s="5">
        <f>IF(MONTH('Previdência_(série)'!$A30)=1,'Previdência_(série)'!$W30,'Previdência_(série)'!$W30-W29)</f>
        <v>0</v>
      </c>
      <c r="Y30" s="5">
        <f>SUMIFS('Previdência_(série)'!$X$2:$X$166,'Previdência_(série)'!$A$2:$A$166,"&gt;"&amp;EDATE('Previdência_(série)'!$A30,-12),'Previdência_(série)'!$A$2:$A$166,"&lt;"&amp;EDATE(A30,1))</f>
        <v>0</v>
      </c>
      <c r="Z30" s="199"/>
      <c r="AA30" s="1"/>
      <c r="AB30" s="1"/>
      <c r="AC30" s="1"/>
      <c r="AD30" s="4" t="s">
        <v>590</v>
      </c>
      <c r="AE30" s="17">
        <v>40299</v>
      </c>
      <c r="AF30" s="4">
        <v>2010</v>
      </c>
    </row>
    <row ht="13.8" outlineLevel="0" r="31">
      <c r="A31" s="17">
        <v>40330</v>
      </c>
      <c r="B31" s="5">
        <v>95749591960.88</v>
      </c>
      <c r="C31" s="5">
        <f>IF(MONTH('Previdência_(série)'!$A31)=1,'Previdência_(série)'!$B31,'Previdência_(série)'!$B31-B30)</f>
        <v>15528079654.18</v>
      </c>
      <c r="D31" s="5">
        <f>SUMIFS('Previdência_(série)'!$C$2:$C$166,'Previdência_(série)'!$A$2:$A$166,"&gt;"&amp;EDATE('Previdência_(série)'!$A31,-12),'Previdência_(série)'!$A$2:$A$166,"&lt;"&amp;EDATE(A31,1))</f>
        <v>194812807193.03</v>
      </c>
      <c r="E31" s="5">
        <v>118871776895.81</v>
      </c>
      <c r="F31" s="5">
        <f>IF(MONTH('Previdência_(série)'!$A31)=1,'Previdência_(série)'!$E31,'Previdência_(série)'!$E31-E30)</f>
        <v>19463108432.98</v>
      </c>
      <c r="G31" s="5">
        <f>SUMIFS('Previdência_(série)'!$F$2:$F$166,'Previdência_(série)'!$A$2:$A$166,"&gt;"&amp;EDATE('Previdência_(série)'!$A31,-12),'Previdência_(série)'!$A$2:$A$166,"&lt;"&amp;EDATE(A31,1))</f>
        <v>240732556746.06</v>
      </c>
      <c r="H31" s="5">
        <v>9050086696.31</v>
      </c>
      <c r="I31" s="5">
        <f>IF(MONTH('Previdência_(série)'!$A31)=1,'Previdência_(série)'!$H31,'Previdência_(série)'!$H31-H30)</f>
        <v>1503988926.8</v>
      </c>
      <c r="J31" s="5">
        <f>SUMIFS('Previdência_(série)'!$I$2:$I$166,'Previdência_(série)'!$A$2:$A$166,"&gt;"&amp;EDATE('Previdência_(série)'!$A31,-12),'Previdência_(série)'!$A$2:$A$166,"&lt;"&amp;EDATE(A31,1))</f>
        <v>19466269466.44</v>
      </c>
      <c r="K31" s="5">
        <v>24865674391.41</v>
      </c>
      <c r="L31" s="5">
        <f>IF(MONTH('Previdência_(série)'!$A31)=1,'Previdência_(série)'!$K31,'Previdência_(série)'!$K31-K30)</f>
        <v>5232858309.26</v>
      </c>
      <c r="M31" s="5">
        <f>SUMIFS('Previdência_(série)'!$L$2:$L$166,'Previdência_(série)'!$A$2:$A$166,"&gt;"&amp;EDATE('Previdência_(série)'!$A31,-12),'Previdência_(série)'!$A$2:$A$166,"&lt;"&amp;EDATE(A31,1))</f>
        <v>49669553331.01</v>
      </c>
      <c r="N31" s="5">
        <v>892070333.65</v>
      </c>
      <c r="O31" s="5">
        <f>IF(MONTH('Previdência_(série)'!$A31)=1,'Previdência_(série)'!$N31,'Previdência_(série)'!$N31-N30)</f>
        <v>149038557.21</v>
      </c>
      <c r="P31" s="5">
        <f>SUMIFS('Previdência_(série)'!$O$2:$O$166,'Previdência_(série)'!$A$2:$A$166,"&gt;"&amp;EDATE('Previdência_(série)'!$A31,-12),'Previdência_(série)'!$A$2:$A$166,"&lt;"&amp;EDATE(A31,1))</f>
        <v>1741572131.91</v>
      </c>
      <c r="Q31" s="5">
        <v>10224419404.51</v>
      </c>
      <c r="R31" s="5">
        <f>IF(MONTH('Previdência_(série)'!$A31)=1,'Previdência_(série)'!$Q31,'Previdência_(série)'!$Q31-Q30)</f>
        <v>2427283091.22</v>
      </c>
      <c r="S31" s="5">
        <f>SUMIFS('Previdência_(série)'!$R$2:$R$166,'Previdência_(série)'!$A$2:$A$166,"&gt;"&amp;EDATE('Previdência_(série)'!$A31,-12),'Previdência_(série)'!$A$2:$A$166,"&lt;"&amp;EDATE(A31,1))</f>
        <v>20745172592.55</v>
      </c>
      <c r="T31" s="5"/>
      <c r="U31" s="5">
        <f>IF(MONTH('Previdência_(série)'!$A31)=1,'Previdência_(série)'!$T31,'Previdência_(série)'!$T31-T30)</f>
        <v>0</v>
      </c>
      <c r="V31" s="5">
        <f>SUMIFS('Previdência_(série)'!$U$2:$U$166,'Previdência_(série)'!$A$2:$A$166,"&gt;"&amp;EDATE('Previdência_(série)'!$A31,-12),'Previdência_(série)'!$A$2:$A$166,"&lt;"&amp;EDATE(A31,1))</f>
        <v>0</v>
      </c>
      <c r="W31" s="5"/>
      <c r="X31" s="5">
        <f>IF(MONTH('Previdência_(série)'!$A31)=1,'Previdência_(série)'!$W31,'Previdência_(série)'!$W31-W30)</f>
        <v>0</v>
      </c>
      <c r="Y31" s="5">
        <f>SUMIFS('Previdência_(série)'!$X$2:$X$166,'Previdência_(série)'!$A$2:$A$166,"&gt;"&amp;EDATE('Previdência_(série)'!$A31,-12),'Previdência_(série)'!$A$2:$A$166,"&lt;"&amp;EDATE(A31,1))</f>
        <v>0</v>
      </c>
      <c r="Z31" s="199"/>
      <c r="AA31" s="1"/>
      <c r="AB31" s="1"/>
      <c r="AC31" s="1"/>
      <c r="AD31" s="4" t="s">
        <v>591</v>
      </c>
      <c r="AE31" s="17">
        <v>40330</v>
      </c>
      <c r="AF31" s="4">
        <v>2010</v>
      </c>
    </row>
    <row ht="13.8" outlineLevel="0" r="32">
      <c r="A32" s="17">
        <v>40360</v>
      </c>
      <c r="B32" s="5">
        <v>113611416316.25</v>
      </c>
      <c r="C32" s="5">
        <f>IF(MONTH('Previdência_(série)'!$A32)=1,'Previdência_(série)'!$B32,'Previdência_(série)'!$B32-B31)</f>
        <v>17861824355.37</v>
      </c>
      <c r="D32" s="5">
        <f>SUMIFS('Previdência_(série)'!$C$2:$C$166,'Previdência_(série)'!$A$2:$A$166,"&gt;"&amp;EDATE('Previdência_(série)'!$A32,-12),'Previdência_(série)'!$A$2:$A$166,"&lt;"&amp;EDATE(A32,1))</f>
        <v>197573161293.04</v>
      </c>
      <c r="E32" s="5">
        <v>139583153409.18</v>
      </c>
      <c r="F32" s="5">
        <f>IF(MONTH('Previdência_(série)'!$A32)=1,'Previdência_(série)'!$E32,'Previdência_(série)'!$E32-E31)</f>
        <v>20711376513.37</v>
      </c>
      <c r="G32" s="5">
        <f>SUMIFS('Previdência_(série)'!$F$2:$F$166,'Previdência_(série)'!$A$2:$A$166,"&gt;"&amp;EDATE('Previdência_(série)'!$A32,-12),'Previdência_(série)'!$A$2:$A$166,"&lt;"&amp;EDATE(A32,1))</f>
        <v>243777864750.19</v>
      </c>
      <c r="H32" s="5">
        <v>10690015097.93</v>
      </c>
      <c r="I32" s="5">
        <f>IF(MONTH('Previdência_(série)'!$A32)=1,'Previdência_(série)'!$H32,'Previdência_(série)'!$H32-H31)</f>
        <v>1639928401.62</v>
      </c>
      <c r="J32" s="5">
        <f>SUMIFS('Previdência_(série)'!$I$2:$I$166,'Previdência_(série)'!$A$2:$A$166,"&gt;"&amp;EDATE('Previdência_(série)'!$A32,-12),'Previdência_(série)'!$A$2:$A$166,"&lt;"&amp;EDATE(A32,1))</f>
        <v>19701707962.99</v>
      </c>
      <c r="K32" s="5">
        <v>29066852376.06</v>
      </c>
      <c r="L32" s="5">
        <f>IF(MONTH('Previdência_(série)'!$A32)=1,'Previdência_(série)'!$K32,'Previdência_(série)'!$K32-K31)</f>
        <v>4201177984.65</v>
      </c>
      <c r="M32" s="5">
        <f>SUMIFS('Previdência_(série)'!$L$2:$L$166,'Previdência_(série)'!$A$2:$A$166,"&gt;"&amp;EDATE('Previdência_(série)'!$A32,-12),'Previdência_(série)'!$A$2:$A$166,"&lt;"&amp;EDATE(A32,1))</f>
        <v>50244880373.41</v>
      </c>
      <c r="N32" s="5">
        <v>1051310260.97</v>
      </c>
      <c r="O32" s="5">
        <f>IF(MONTH('Previdência_(série)'!$A32)=1,'Previdência_(série)'!$N32,'Previdência_(série)'!$N32-N31)</f>
        <v>159239927.32</v>
      </c>
      <c r="P32" s="5">
        <f>SUMIFS('Previdência_(série)'!$O$2:$O$166,'Previdência_(série)'!$A$2:$A$166,"&gt;"&amp;EDATE('Previdência_(série)'!$A32,-12),'Previdência_(série)'!$A$2:$A$166,"&lt;"&amp;EDATE(A32,1))</f>
        <v>1753464275.59</v>
      </c>
      <c r="Q32" s="5">
        <v>11927126635.38</v>
      </c>
      <c r="R32" s="5">
        <f>IF(MONTH('Previdência_(série)'!$A32)=1,'Previdência_(série)'!$Q32,'Previdência_(série)'!$Q32-Q31)</f>
        <v>1702707230.87</v>
      </c>
      <c r="S32" s="5">
        <f>SUMIFS('Previdência_(série)'!$R$2:$R$166,'Previdência_(série)'!$A$2:$A$166,"&gt;"&amp;EDATE('Previdência_(série)'!$A32,-12),'Previdência_(série)'!$A$2:$A$166,"&lt;"&amp;EDATE(A32,1))</f>
        <v>20825514571.14</v>
      </c>
      <c r="T32" s="5"/>
      <c r="U32" s="5">
        <f>IF(MONTH('Previdência_(série)'!$A32)=1,'Previdência_(série)'!$T32,'Previdência_(série)'!$T32-T31)</f>
        <v>0</v>
      </c>
      <c r="V32" s="5">
        <f>SUMIFS('Previdência_(série)'!$U$2:$U$166,'Previdência_(série)'!$A$2:$A$166,"&gt;"&amp;EDATE('Previdência_(série)'!$A32,-12),'Previdência_(série)'!$A$2:$A$166,"&lt;"&amp;EDATE(A32,1))</f>
        <v>0</v>
      </c>
      <c r="W32" s="5"/>
      <c r="X32" s="5">
        <f>IF(MONTH('Previdência_(série)'!$A32)=1,'Previdência_(série)'!$W32,'Previdência_(série)'!$W32-W31)</f>
        <v>0</v>
      </c>
      <c r="Y32" s="5">
        <f>SUMIFS('Previdência_(série)'!$X$2:$X$166,'Previdência_(série)'!$A$2:$A$166,"&gt;"&amp;EDATE('Previdência_(série)'!$A32,-12),'Previdência_(série)'!$A$2:$A$166,"&lt;"&amp;EDATE(A32,1))</f>
        <v>0</v>
      </c>
      <c r="Z32" s="199"/>
      <c r="AA32" s="1"/>
      <c r="AB32" s="1"/>
      <c r="AC32" s="1"/>
      <c r="AD32" s="4" t="s">
        <v>592</v>
      </c>
      <c r="AE32" s="17">
        <v>40360</v>
      </c>
      <c r="AF32" s="4">
        <v>2010</v>
      </c>
    </row>
    <row ht="13.8" outlineLevel="0" r="33">
      <c r="A33" s="17">
        <v>40391</v>
      </c>
      <c r="B33" s="5">
        <v>130840407018.97</v>
      </c>
      <c r="C33" s="5">
        <f>IF(MONTH('Previdência_(série)'!$A33)=1,'Previdência_(série)'!$B33,'Previdência_(série)'!$B33-B32)</f>
        <v>17228990702.72</v>
      </c>
      <c r="D33" s="5">
        <f>SUMIFS('Previdência_(série)'!$C$2:$C$166,'Previdência_(série)'!$A$2:$A$166,"&gt;"&amp;EDATE('Previdência_(série)'!$A33,-12),'Previdência_(série)'!$A$2:$A$166,"&lt;"&amp;EDATE(A33,1))</f>
        <v>200374856512.51</v>
      </c>
      <c r="E33" s="5">
        <v>168219834249.44</v>
      </c>
      <c r="F33" s="5">
        <f>IF(MONTH('Previdência_(série)'!$A33)=1,'Previdência_(série)'!$E33,'Previdência_(série)'!$E33-E32)</f>
        <v>28636680840.26</v>
      </c>
      <c r="G33" s="5">
        <f>SUMIFS('Previdência_(série)'!$F$2:$F$166,'Previdência_(série)'!$A$2:$A$166,"&gt;"&amp;EDATE('Previdência_(série)'!$A33,-12),'Previdência_(série)'!$A$2:$A$166,"&lt;"&amp;EDATE(A33,1))</f>
        <v>257768975899.54</v>
      </c>
      <c r="H33" s="5">
        <v>12330842925.31</v>
      </c>
      <c r="I33" s="5">
        <f>IF(MONTH('Previdência_(série)'!$A33)=1,'Previdência_(série)'!$H33,'Previdência_(série)'!$H33-H32)</f>
        <v>1640827827.38</v>
      </c>
      <c r="J33" s="5">
        <f>SUMIFS('Previdência_(série)'!$I$2:$I$166,'Previdência_(série)'!$A$2:$A$166,"&gt;"&amp;EDATE('Previdência_(série)'!$A33,-12),'Previdência_(série)'!$A$2:$A$166,"&lt;"&amp;EDATE(A33,1))</f>
        <v>19864728261.12</v>
      </c>
      <c r="K33" s="5">
        <v>33243423704.01</v>
      </c>
      <c r="L33" s="5">
        <f>IF(MONTH('Previdência_(série)'!$A33)=1,'Previdência_(série)'!$K33,'Previdência_(série)'!$K33-K32)</f>
        <v>4176571327.95</v>
      </c>
      <c r="M33" s="5">
        <f>SUMIFS('Previdência_(série)'!$L$2:$L$166,'Previdência_(série)'!$A$2:$A$166,"&gt;"&amp;EDATE('Previdência_(série)'!$A33,-12),'Previdência_(série)'!$A$2:$A$166,"&lt;"&amp;EDATE(A33,1))</f>
        <v>50770381197.24</v>
      </c>
      <c r="N33" s="5">
        <v>1214106825.85</v>
      </c>
      <c r="O33" s="5">
        <f>IF(MONTH('Previdência_(série)'!$A33)=1,'Previdência_(série)'!$N33,'Previdência_(série)'!$N33-N32)</f>
        <v>162796564.88</v>
      </c>
      <c r="P33" s="5">
        <f>SUMIFS('Previdência_(série)'!$O$2:$O$166,'Previdência_(série)'!$A$2:$A$166,"&gt;"&amp;EDATE('Previdência_(série)'!$A33,-12),'Previdência_(série)'!$A$2:$A$166,"&lt;"&amp;EDATE(A33,1))</f>
        <v>1767702144.35</v>
      </c>
      <c r="Q33" s="5">
        <v>13640777045.68</v>
      </c>
      <c r="R33" s="5">
        <f>IF(MONTH('Previdência_(série)'!$A33)=1,'Previdência_(série)'!$Q33,'Previdência_(série)'!$Q33-Q32)</f>
        <v>1713650410.3</v>
      </c>
      <c r="S33" s="5">
        <f>SUMIFS('Previdência_(série)'!$R$2:$R$166,'Previdência_(série)'!$A$2:$A$166,"&gt;"&amp;EDATE('Previdência_(série)'!$A33,-12),'Previdência_(série)'!$A$2:$A$166,"&lt;"&amp;EDATE(A33,1))</f>
        <v>20915443071.23</v>
      </c>
      <c r="T33" s="5"/>
      <c r="U33" s="5">
        <f>IF(MONTH('Previdência_(série)'!$A33)=1,'Previdência_(série)'!$T33,'Previdência_(série)'!$T33-T32)</f>
        <v>0</v>
      </c>
      <c r="V33" s="5">
        <f>SUMIFS('Previdência_(série)'!$U$2:$U$166,'Previdência_(série)'!$A$2:$A$166,"&gt;"&amp;EDATE('Previdência_(série)'!$A33,-12),'Previdência_(série)'!$A$2:$A$166,"&lt;"&amp;EDATE(A33,1))</f>
        <v>0</v>
      </c>
      <c r="W33" s="5"/>
      <c r="X33" s="5">
        <f>IF(MONTH('Previdência_(série)'!$A33)=1,'Previdência_(série)'!$W33,'Previdência_(série)'!$W33-W32)</f>
        <v>0</v>
      </c>
      <c r="Y33" s="5">
        <f>SUMIFS('Previdência_(série)'!$X$2:$X$166,'Previdência_(série)'!$A$2:$A$166,"&gt;"&amp;EDATE('Previdência_(série)'!$A33,-12),'Previdência_(série)'!$A$2:$A$166,"&lt;"&amp;EDATE(A33,1))</f>
        <v>0</v>
      </c>
      <c r="Z33" s="199"/>
      <c r="AA33" s="1"/>
      <c r="AB33" s="1"/>
      <c r="AC33" s="1"/>
      <c r="AD33" s="4" t="s">
        <v>593</v>
      </c>
      <c r="AE33" s="17">
        <v>40391</v>
      </c>
      <c r="AF33" s="4">
        <v>2010</v>
      </c>
    </row>
    <row ht="13.8" outlineLevel="0" r="34">
      <c r="A34" s="17">
        <v>40422</v>
      </c>
      <c r="B34" s="5">
        <v>147913072257.22</v>
      </c>
      <c r="C34" s="5">
        <f>IF(MONTH('Previdência_(série)'!$A34)=1,'Previdência_(série)'!$B34,'Previdência_(série)'!$B34-B33)</f>
        <v>17072665238.25</v>
      </c>
      <c r="D34" s="5">
        <f>SUMIFS('Previdência_(série)'!$C$2:$C$166,'Previdência_(série)'!$A$2:$A$166,"&gt;"&amp;EDATE('Previdência_(série)'!$A34,-12),'Previdência_(série)'!$A$2:$A$166,"&lt;"&amp;EDATE(A34,1))</f>
        <v>204068623550.07</v>
      </c>
      <c r="E34" s="5">
        <v>187459510584.51</v>
      </c>
      <c r="F34" s="5">
        <f>IF(MONTH('Previdência_(série)'!$A34)=1,'Previdência_(série)'!$E34,'Previdência_(série)'!$E34-E33)</f>
        <v>19239676335.07</v>
      </c>
      <c r="G34" s="5">
        <f>SUMIFS('Previdência_(série)'!$F$2:$F$166,'Previdência_(série)'!$A$2:$A$166,"&gt;"&amp;EDATE('Previdência_(série)'!$A34,-12),'Previdência_(série)'!$A$2:$A$166,"&lt;"&amp;EDATE(A34,1))</f>
        <v>248856671855.22</v>
      </c>
      <c r="H34" s="5">
        <v>13996491195.77</v>
      </c>
      <c r="I34" s="5">
        <f>IF(MONTH('Previdência_(série)'!$A34)=1,'Previdência_(série)'!$H34,'Previdência_(série)'!$H34-H33)</f>
        <v>1665648270.46</v>
      </c>
      <c r="J34" s="5">
        <f>SUMIFS('Previdência_(série)'!$I$2:$I$166,'Previdência_(série)'!$A$2:$A$166,"&gt;"&amp;EDATE('Previdência_(série)'!$A34,-12),'Previdência_(série)'!$A$2:$A$166,"&lt;"&amp;EDATE(A34,1))</f>
        <v>20094995851.21</v>
      </c>
      <c r="K34" s="5">
        <v>37395403771.57</v>
      </c>
      <c r="L34" s="5">
        <f>IF(MONTH('Previdência_(série)'!$A34)=1,'Previdência_(série)'!$K34,'Previdência_(série)'!$K34-K33)</f>
        <v>4151980067.56</v>
      </c>
      <c r="M34" s="5">
        <f>SUMIFS('Previdência_(série)'!$L$2:$L$166,'Previdência_(série)'!$A$2:$A$166,"&gt;"&amp;EDATE('Previdência_(série)'!$A34,-12),'Previdência_(série)'!$A$2:$A$166,"&lt;"&amp;EDATE(A34,1))</f>
        <v>51209401620.57</v>
      </c>
      <c r="N34" s="5">
        <v>1377457349.88</v>
      </c>
      <c r="O34" s="5">
        <f>IF(MONTH('Previdência_(série)'!$A34)=1,'Previdência_(série)'!$N34,'Previdência_(série)'!$N34-N33)</f>
        <v>163350524.03</v>
      </c>
      <c r="P34" s="5">
        <f>SUMIFS('Previdência_(série)'!$O$2:$O$166,'Previdência_(série)'!$A$2:$A$166,"&gt;"&amp;EDATE('Previdência_(série)'!$A34,-12),'Previdência_(série)'!$A$2:$A$166,"&lt;"&amp;EDATE(A34,1))</f>
        <v>1819347558.2</v>
      </c>
      <c r="Q34" s="5">
        <v>15359789480.66</v>
      </c>
      <c r="R34" s="5">
        <f>IF(MONTH('Previdência_(série)'!$A34)=1,'Previdência_(série)'!$Q34,'Previdência_(série)'!$Q34-Q33)</f>
        <v>1719012434.98</v>
      </c>
      <c r="S34" s="5">
        <f>SUMIFS('Previdência_(série)'!$R$2:$R$166,'Previdência_(série)'!$A$2:$A$166,"&gt;"&amp;EDATE('Previdência_(série)'!$A34,-12),'Previdência_(série)'!$A$2:$A$166,"&lt;"&amp;EDATE(A34,1))</f>
        <v>21021297526.1</v>
      </c>
      <c r="T34" s="5"/>
      <c r="U34" s="5">
        <f>IF(MONTH('Previdência_(série)'!$A34)=1,'Previdência_(série)'!$T34,'Previdência_(série)'!$T34-T33)</f>
        <v>0</v>
      </c>
      <c r="V34" s="5">
        <f>SUMIFS('Previdência_(série)'!$U$2:$U$166,'Previdência_(série)'!$A$2:$A$166,"&gt;"&amp;EDATE('Previdência_(série)'!$A34,-12),'Previdência_(série)'!$A$2:$A$166,"&lt;"&amp;EDATE(A34,1))</f>
        <v>0</v>
      </c>
      <c r="W34" s="5"/>
      <c r="X34" s="5">
        <f>IF(MONTH('Previdência_(série)'!$A34)=1,'Previdência_(série)'!$W34,'Previdência_(série)'!$W34-W33)</f>
        <v>0</v>
      </c>
      <c r="Y34" s="5">
        <f>SUMIFS('Previdência_(série)'!$X$2:$X$166,'Previdência_(série)'!$A$2:$A$166,"&gt;"&amp;EDATE('Previdência_(série)'!$A34,-12),'Previdência_(série)'!$A$2:$A$166,"&lt;"&amp;EDATE(A34,1))</f>
        <v>0</v>
      </c>
      <c r="Z34" s="199"/>
      <c r="AA34" s="1"/>
      <c r="AB34" s="1"/>
      <c r="AC34" s="1"/>
      <c r="AD34" s="4" t="s">
        <v>594</v>
      </c>
      <c r="AE34" s="17">
        <v>40422</v>
      </c>
      <c r="AF34" s="4">
        <v>2010</v>
      </c>
    </row>
    <row ht="13.8" outlineLevel="0" r="35">
      <c r="A35" s="17">
        <v>40452</v>
      </c>
      <c r="B35" s="5">
        <v>165526195305.52</v>
      </c>
      <c r="C35" s="5">
        <f>IF(MONTH('Previdência_(série)'!$A35)=1,'Previdência_(série)'!$B35,'Previdência_(série)'!$B35-B34)</f>
        <v>17613123048.3</v>
      </c>
      <c r="D35" s="5">
        <f>SUMIFS('Previdência_(série)'!$C$2:$C$166,'Previdência_(série)'!$A$2:$A$166,"&gt;"&amp;EDATE('Previdência_(série)'!$A35,-12),'Previdência_(série)'!$A$2:$A$166,"&lt;"&amp;EDATE(A35,1))</f>
        <v>206007715434.02</v>
      </c>
      <c r="E35" s="5">
        <v>207379096565.41</v>
      </c>
      <c r="F35" s="5">
        <f>IF(MONTH('Previdência_(série)'!$A35)=1,'Previdência_(série)'!$E35,'Previdência_(série)'!$E35-E34)</f>
        <v>19919585980.9</v>
      </c>
      <c r="G35" s="5">
        <f>SUMIFS('Previdência_(série)'!$F$2:$F$166,'Previdência_(série)'!$A$2:$A$166,"&gt;"&amp;EDATE('Previdência_(série)'!$A35,-12),'Previdência_(série)'!$A$2:$A$166,"&lt;"&amp;EDATE(A35,1))</f>
        <v>251049802286.75</v>
      </c>
      <c r="H35" s="5">
        <v>15644886016.09</v>
      </c>
      <c r="I35" s="5">
        <f>IF(MONTH('Previdência_(série)'!$A35)=1,'Previdência_(série)'!$H35,'Previdência_(série)'!$H35-H34)</f>
        <v>1648394820.32</v>
      </c>
      <c r="J35" s="5">
        <f>SUMIFS('Previdência_(série)'!$I$2:$I$166,'Previdência_(série)'!$A$2:$A$166,"&gt;"&amp;EDATE('Previdência_(série)'!$A35,-12),'Previdência_(série)'!$A$2:$A$166,"&lt;"&amp;EDATE(A35,1))</f>
        <v>20264238992.88</v>
      </c>
      <c r="K35" s="5">
        <v>41562517827.7</v>
      </c>
      <c r="L35" s="5">
        <f>IF(MONTH('Previdência_(série)'!$A35)=1,'Previdência_(série)'!$K35,'Previdência_(série)'!$K35-K34)</f>
        <v>4167114056.13</v>
      </c>
      <c r="M35" s="5">
        <f>SUMIFS('Previdência_(série)'!$L$2:$L$166,'Previdência_(série)'!$A$2:$A$166,"&gt;"&amp;EDATE('Previdência_(série)'!$A35,-12),'Previdência_(série)'!$A$2:$A$166,"&lt;"&amp;EDATE(A35,1))</f>
        <v>51682027626.37</v>
      </c>
      <c r="N35" s="5">
        <v>1540742751.7</v>
      </c>
      <c r="O35" s="5">
        <f>IF(MONTH('Previdência_(série)'!$A35)=1,'Previdência_(série)'!$N35,'Previdência_(série)'!$N35-N34)</f>
        <v>163285401.82</v>
      </c>
      <c r="P35" s="5">
        <f>SUMIFS('Previdência_(série)'!$O$2:$O$166,'Previdência_(série)'!$A$2:$A$166,"&gt;"&amp;EDATE('Previdência_(série)'!$A35,-12),'Previdência_(série)'!$A$2:$A$166,"&lt;"&amp;EDATE(A35,1))</f>
        <v>1835248682.19</v>
      </c>
      <c r="Q35" s="5">
        <v>17068297229.25</v>
      </c>
      <c r="R35" s="5">
        <f>IF(MONTH('Previdência_(série)'!$A35)=1,'Previdência_(série)'!$Q35,'Previdência_(série)'!$Q35-Q34)</f>
        <v>1708507748.59</v>
      </c>
      <c r="S35" s="5">
        <f>SUMIFS('Previdência_(série)'!$R$2:$R$166,'Previdência_(série)'!$A$2:$A$166,"&gt;"&amp;EDATE('Previdência_(série)'!$A35,-12),'Previdência_(série)'!$A$2:$A$166,"&lt;"&amp;EDATE(A35,1))</f>
        <v>21113415108.16</v>
      </c>
      <c r="T35" s="5"/>
      <c r="U35" s="5">
        <f>IF(MONTH('Previdência_(série)'!$A35)=1,'Previdência_(série)'!$T35,'Previdência_(série)'!$T35-T34)</f>
        <v>0</v>
      </c>
      <c r="V35" s="5">
        <f>SUMIFS('Previdência_(série)'!$U$2:$U$166,'Previdência_(série)'!$A$2:$A$166,"&gt;"&amp;EDATE('Previdência_(série)'!$A35,-12),'Previdência_(série)'!$A$2:$A$166,"&lt;"&amp;EDATE(A35,1))</f>
        <v>0</v>
      </c>
      <c r="W35" s="5"/>
      <c r="X35" s="5">
        <f>IF(MONTH('Previdência_(série)'!$A35)=1,'Previdência_(série)'!$W35,'Previdência_(série)'!$W35-W34)</f>
        <v>0</v>
      </c>
      <c r="Y35" s="5">
        <f>SUMIFS('Previdência_(série)'!$X$2:$X$166,'Previdência_(série)'!$A$2:$A$166,"&gt;"&amp;EDATE('Previdência_(série)'!$A35,-12),'Previdência_(série)'!$A$2:$A$166,"&lt;"&amp;EDATE(A35,1))</f>
        <v>0</v>
      </c>
      <c r="Z35" s="199"/>
      <c r="AA35" s="1"/>
      <c r="AB35" s="1"/>
      <c r="AC35" s="1"/>
      <c r="AD35" s="4" t="s">
        <v>595</v>
      </c>
      <c r="AE35" s="17">
        <v>40452</v>
      </c>
      <c r="AF35" s="4">
        <v>2010</v>
      </c>
    </row>
    <row ht="13.8" outlineLevel="0" r="36">
      <c r="A36" s="17">
        <v>40483</v>
      </c>
      <c r="B36" s="5">
        <v>182342055041.23</v>
      </c>
      <c r="C36" s="5">
        <f>IF(MONTH('Previdência_(série)'!$A36)=1,'Previdência_(série)'!$B36,'Previdência_(série)'!$B36-B35)</f>
        <v>16815859735.71</v>
      </c>
      <c r="D36" s="5">
        <f>SUMIFS('Previdência_(série)'!$C$2:$C$166,'Previdência_(série)'!$A$2:$A$166,"&gt;"&amp;EDATE('Previdência_(série)'!$A36,-12),'Previdência_(série)'!$A$2:$A$166,"&lt;"&amp;EDATE(A36,1))</f>
        <v>206749429988.84</v>
      </c>
      <c r="E36" s="5">
        <v>236405125510.48</v>
      </c>
      <c r="F36" s="5">
        <f>IF(MONTH('Previdência_(série)'!$A36)=1,'Previdência_(série)'!$E36,'Previdência_(série)'!$E36-E35)</f>
        <v>29026028945.07</v>
      </c>
      <c r="G36" s="5">
        <f>SUMIFS('Previdência_(série)'!$F$2:$F$166,'Previdência_(série)'!$A$2:$A$166,"&gt;"&amp;EDATE('Previdência_(série)'!$A36,-12),'Previdência_(série)'!$A$2:$A$166,"&lt;"&amp;EDATE(A36,1))</f>
        <v>253919451310.72</v>
      </c>
      <c r="H36" s="5">
        <v>18447452691.2</v>
      </c>
      <c r="I36" s="5">
        <f>IF(MONTH('Previdência_(série)'!$A36)=1,'Previdência_(série)'!$H36,'Previdência_(série)'!$H36-H35)</f>
        <v>2802566675.11</v>
      </c>
      <c r="J36" s="5">
        <f>SUMIFS('Previdência_(série)'!$I$2:$I$166,'Previdência_(série)'!$A$2:$A$166,"&gt;"&amp;EDATE('Previdência_(série)'!$A36,-12),'Previdência_(série)'!$A$2:$A$166,"&lt;"&amp;EDATE(A36,1))</f>
        <v>20512207787.79</v>
      </c>
      <c r="K36" s="5">
        <v>47608030358.76</v>
      </c>
      <c r="L36" s="5">
        <f>IF(MONTH('Previdência_(série)'!$A36)=1,'Previdência_(série)'!$K36,'Previdência_(série)'!$K36-K35)</f>
        <v>6045512531.06</v>
      </c>
      <c r="M36" s="5">
        <f>SUMIFS('Previdência_(série)'!$L$2:$L$166,'Previdência_(série)'!$A$2:$A$166,"&gt;"&amp;EDATE('Previdência_(série)'!$A36,-12),'Previdência_(série)'!$A$2:$A$166,"&lt;"&amp;EDATE(A36,1))</f>
        <v>51946867920.02</v>
      </c>
      <c r="N36" s="5">
        <v>1745526760.14</v>
      </c>
      <c r="O36" s="5">
        <f>IF(MONTH('Previdência_(série)'!$A36)=1,'Previdência_(série)'!$N36,'Previdência_(série)'!$N36-N35)</f>
        <v>204784008.44</v>
      </c>
      <c r="P36" s="5">
        <f>SUMIFS('Previdência_(série)'!$O$2:$O$166,'Previdência_(série)'!$A$2:$A$166,"&gt;"&amp;EDATE('Previdência_(série)'!$A36,-12),'Previdência_(série)'!$A$2:$A$166,"&lt;"&amp;EDATE(A36,1))</f>
        <v>1892827034.76</v>
      </c>
      <c r="Q36" s="5">
        <v>19857468300.78</v>
      </c>
      <c r="R36" s="5">
        <f>IF(MONTH('Previdência_(série)'!$A36)=1,'Previdência_(série)'!$Q36,'Previdência_(série)'!$Q36-Q35)</f>
        <v>2789171071.53</v>
      </c>
      <c r="S36" s="5">
        <f>SUMIFS('Previdência_(série)'!$R$2:$R$166,'Previdência_(série)'!$A$2:$A$166,"&gt;"&amp;EDATE('Previdência_(série)'!$A36,-12),'Previdência_(série)'!$A$2:$A$166,"&lt;"&amp;EDATE(A36,1))</f>
        <v>21405761043.2</v>
      </c>
      <c r="T36" s="5"/>
      <c r="U36" s="5">
        <f>IF(MONTH('Previdência_(série)'!$A36)=1,'Previdência_(série)'!$T36,'Previdência_(série)'!$T36-T35)</f>
        <v>0</v>
      </c>
      <c r="V36" s="5">
        <f>SUMIFS('Previdência_(série)'!$U$2:$U$166,'Previdência_(série)'!$A$2:$A$166,"&gt;"&amp;EDATE('Previdência_(série)'!$A36,-12),'Previdência_(série)'!$A$2:$A$166,"&lt;"&amp;EDATE(A36,1))</f>
        <v>0</v>
      </c>
      <c r="W36" s="5"/>
      <c r="X36" s="5">
        <f>IF(MONTH('Previdência_(série)'!$A36)=1,'Previdência_(série)'!$W36,'Previdência_(série)'!$W36-W35)</f>
        <v>0</v>
      </c>
      <c r="Y36" s="5">
        <f>SUMIFS('Previdência_(série)'!$X$2:$X$166,'Previdência_(série)'!$A$2:$A$166,"&gt;"&amp;EDATE('Previdência_(série)'!$A36,-12),'Previdência_(série)'!$A$2:$A$166,"&lt;"&amp;EDATE(A36,1))</f>
        <v>0</v>
      </c>
      <c r="Z36" s="199"/>
      <c r="AA36" s="1"/>
      <c r="AB36" s="1"/>
      <c r="AC36" s="1"/>
      <c r="AD36" s="4" t="s">
        <v>596</v>
      </c>
      <c r="AE36" s="17">
        <v>40483</v>
      </c>
      <c r="AF36" s="4">
        <v>2010</v>
      </c>
    </row>
    <row ht="13.8" outlineLevel="0" r="37">
      <c r="A37" s="17">
        <v>40513</v>
      </c>
      <c r="B37" s="5">
        <v>212402450608.88</v>
      </c>
      <c r="C37" s="5">
        <f>IF(MONTH('Previdência_(série)'!$A37)=1,'Previdência_(série)'!$B37,'Previdência_(série)'!$B37-B36)</f>
        <v>30060395567.65</v>
      </c>
      <c r="D37" s="5">
        <f>SUMIFS('Previdência_(série)'!$C$2:$C$166,'Previdência_(série)'!$A$2:$A$166,"&gt;"&amp;EDATE('Previdência_(série)'!$A37,-12),'Previdência_(série)'!$A$2:$A$166,"&lt;"&amp;EDATE(A37,1))</f>
        <v>212402450608.88</v>
      </c>
      <c r="E37" s="5">
        <v>254819860904.04</v>
      </c>
      <c r="F37" s="5">
        <f>IF(MONTH('Previdência_(série)'!$A37)=1,'Previdência_(série)'!$E37,'Previdência_(série)'!$E37-E36)</f>
        <v>18414735393.56</v>
      </c>
      <c r="G37" s="5">
        <f>SUMIFS('Previdência_(série)'!$F$2:$F$166,'Previdência_(série)'!$A$2:$A$166,"&gt;"&amp;EDATE('Previdência_(série)'!$A37,-12),'Previdência_(série)'!$A$2:$A$166,"&lt;"&amp;EDATE(A37,1))</f>
        <v>254819860904.04</v>
      </c>
      <c r="H37" s="5">
        <v>20807681025.6</v>
      </c>
      <c r="I37" s="5">
        <f>IF(MONTH('Previdência_(série)'!$A37)=1,'Previdência_(série)'!$H37,'Previdência_(série)'!$H37-H36)</f>
        <v>2360228334.4</v>
      </c>
      <c r="J37" s="5">
        <f>SUMIFS('Previdência_(série)'!$I$2:$I$166,'Previdência_(série)'!$A$2:$A$166,"&gt;"&amp;EDATE('Previdência_(série)'!$A37,-12),'Previdência_(série)'!$A$2:$A$166,"&lt;"&amp;EDATE(A37,1))</f>
        <v>20807681025.6</v>
      </c>
      <c r="K37" s="5">
        <v>52344421395.81</v>
      </c>
      <c r="L37" s="5">
        <f>IF(MONTH('Previdência_(série)'!$A37)=1,'Previdência_(série)'!$K37,'Previdência_(série)'!$K37-K36)</f>
        <v>4736391037.05001</v>
      </c>
      <c r="M37" s="5">
        <f>SUMIFS('Previdência_(série)'!$L$2:$L$166,'Previdência_(série)'!$A$2:$A$166,"&gt;"&amp;EDATE('Previdência_(série)'!$A37,-12),'Previdência_(série)'!$A$2:$A$166,"&lt;"&amp;EDATE(A37,1))</f>
        <v>52344421395.81</v>
      </c>
      <c r="N37" s="5">
        <v>1869020969.1</v>
      </c>
      <c r="O37" s="5">
        <f>IF(MONTH('Previdência_(série)'!$A37)=1,'Previdência_(série)'!$N37,'Previdência_(série)'!$N37-N36)</f>
        <v>123494208.96</v>
      </c>
      <c r="P37" s="5">
        <f>SUMIFS('Previdência_(série)'!$O$2:$O$166,'Previdência_(série)'!$A$2:$A$166,"&gt;"&amp;EDATE('Previdência_(série)'!$A37,-12),'Previdência_(série)'!$A$2:$A$166,"&lt;"&amp;EDATE(A37,1))</f>
        <v>1869020969.1</v>
      </c>
      <c r="Q37" s="5">
        <v>21578051847.29</v>
      </c>
      <c r="R37" s="5">
        <f>IF(MONTH('Previdência_(série)'!$A37)=1,'Previdência_(série)'!$Q37,'Previdência_(série)'!$Q37-Q36)</f>
        <v>1720583546.51</v>
      </c>
      <c r="S37" s="5">
        <f>SUMIFS('Previdência_(série)'!$R$2:$R$166,'Previdência_(série)'!$A$2:$A$166,"&gt;"&amp;EDATE('Previdência_(série)'!$A37,-12),'Previdência_(série)'!$A$2:$A$166,"&lt;"&amp;EDATE(A37,1))</f>
        <v>21578051847.29</v>
      </c>
      <c r="T37" s="5"/>
      <c r="U37" s="5">
        <f>IF(MONTH('Previdência_(série)'!$A37)=1,'Previdência_(série)'!$T37,'Previdência_(série)'!$T37-T36)</f>
        <v>0</v>
      </c>
      <c r="V37" s="5">
        <f>SUMIFS('Previdência_(série)'!$U$2:$U$166,'Previdência_(série)'!$A$2:$A$166,"&gt;"&amp;EDATE('Previdência_(série)'!$A37,-12),'Previdência_(série)'!$A$2:$A$166,"&lt;"&amp;EDATE(A37,1))</f>
        <v>0</v>
      </c>
      <c r="W37" s="5"/>
      <c r="X37" s="5">
        <f>IF(MONTH('Previdência_(série)'!$A37)=1,'Previdência_(série)'!$W37,'Previdência_(série)'!$W37-W36)</f>
        <v>0</v>
      </c>
      <c r="Y37" s="5">
        <f>SUMIFS('Previdência_(série)'!$X$2:$X$166,'Previdência_(série)'!$A$2:$A$166,"&gt;"&amp;EDATE('Previdência_(série)'!$A37,-12),'Previdência_(série)'!$A$2:$A$166,"&lt;"&amp;EDATE(A37,1))</f>
        <v>0</v>
      </c>
      <c r="Z37" s="199"/>
      <c r="AA37" s="1"/>
      <c r="AB37" s="1"/>
      <c r="AC37" s="1"/>
      <c r="AD37" s="4" t="s">
        <v>597</v>
      </c>
      <c r="AE37" s="17">
        <v>40513</v>
      </c>
      <c r="AF37" s="4">
        <v>2010</v>
      </c>
    </row>
    <row ht="13.8" outlineLevel="0" r="38">
      <c r="A38" s="17">
        <v>40544</v>
      </c>
      <c r="B38" s="5">
        <v>18554896485.84</v>
      </c>
      <c r="C38" s="5">
        <f>IF(MONTH('Previdência_(série)'!$A38)=1,'Previdência_(série)'!$B38,'Previdência_(série)'!$B38-B37)</f>
        <v>18554896485.84</v>
      </c>
      <c r="D38" s="5">
        <f>SUMIFS('Previdência_(série)'!$C$2:$C$166,'Previdência_(série)'!$A$2:$A$166,"&gt;"&amp;EDATE('Previdência_(série)'!$A38,-12),'Previdência_(série)'!$A$2:$A$166,"&lt;"&amp;EDATE(A38,1))</f>
        <v>215010964458.93</v>
      </c>
      <c r="E38" s="5">
        <v>23176670139.48</v>
      </c>
      <c r="F38" s="5">
        <f>IF(MONTH('Previdência_(série)'!$A38)=1,'Previdência_(série)'!$E38,'Previdência_(série)'!$E38-E37)</f>
        <v>23176670139.48</v>
      </c>
      <c r="G38" s="5">
        <f>SUMIFS('Previdência_(série)'!$F$2:$F$166,'Previdência_(série)'!$A$2:$A$166,"&gt;"&amp;EDATE('Previdência_(série)'!$A38,-12),'Previdência_(série)'!$A$2:$A$166,"&lt;"&amp;EDATE(A38,1))</f>
        <v>259173792508.74</v>
      </c>
      <c r="H38" s="5">
        <v>1727172838.05</v>
      </c>
      <c r="I38" s="5">
        <f>IF(MONTH('Previdência_(série)'!$A38)=1,'Previdência_(série)'!$H38,'Previdência_(série)'!$H38-H37)</f>
        <v>1727172838.05</v>
      </c>
      <c r="J38" s="5">
        <f>SUMIFS('Previdência_(série)'!$I$2:$I$166,'Previdência_(série)'!$A$2:$A$166,"&gt;"&amp;EDATE('Previdência_(série)'!$A38,-12),'Previdência_(série)'!$A$2:$A$166,"&lt;"&amp;EDATE(A38,1))</f>
        <v>21065766221.84</v>
      </c>
      <c r="K38" s="5">
        <v>4342370913.99</v>
      </c>
      <c r="L38" s="5">
        <f>IF(MONTH('Previdência_(série)'!$A38)=1,'Previdência_(série)'!$K38,'Previdência_(série)'!$K38-K37)</f>
        <v>4342370913.99</v>
      </c>
      <c r="M38" s="5">
        <f>SUMIFS('Previdência_(série)'!$L$2:$L$166,'Previdência_(série)'!$A$2:$A$166,"&gt;"&amp;EDATE('Previdência_(série)'!$A38,-12),'Previdência_(série)'!$A$2:$A$166,"&lt;"&amp;EDATE(A38,1))</f>
        <v>52807787087.17</v>
      </c>
      <c r="N38" s="5">
        <v>164613828.14</v>
      </c>
      <c r="O38" s="5">
        <f>IF(MONTH('Previdência_(série)'!$A38)=1,'Previdência_(série)'!$N38,'Previdência_(série)'!$N38-N37)</f>
        <v>164613828.14</v>
      </c>
      <c r="P38" s="5">
        <f>SUMIFS('Previdência_(série)'!$O$2:$O$166,'Previdência_(série)'!$A$2:$A$166,"&gt;"&amp;EDATE('Previdência_(série)'!$A38,-12),'Previdência_(série)'!$A$2:$A$166,"&lt;"&amp;EDATE(A38,1))</f>
        <v>1885257984.01</v>
      </c>
      <c r="Q38" s="5">
        <v>1679196172.52</v>
      </c>
      <c r="R38" s="5">
        <f>IF(MONTH('Previdência_(série)'!$A38)=1,'Previdência_(série)'!$Q38,'Previdência_(série)'!$Q38-Q37)</f>
        <v>1679196172.52</v>
      </c>
      <c r="S38" s="5">
        <f>SUMIFS('Previdência_(série)'!$R$2:$R$166,'Previdência_(série)'!$A$2:$A$166,"&gt;"&amp;EDATE('Previdência_(série)'!$A38,-12),'Previdência_(série)'!$A$2:$A$166,"&lt;"&amp;EDATE(A38,1))</f>
        <v>21727889407.54</v>
      </c>
      <c r="T38" s="5"/>
      <c r="U38" s="5" t="s">
        <f>IF(MONTH('Previdência_(série)'!$A38)=1,'Previdência_(série)'!$T38,'Previdência_(série)'!$T38-T37)</f>
      </c>
      <c r="V38" s="5">
        <f>SUMIFS('Previdência_(série)'!$U$2:$U$166,'Previdência_(série)'!$A$2:$A$166,"&gt;"&amp;EDATE('Previdência_(série)'!$A38,-12),'Previdência_(série)'!$A$2:$A$166,"&lt;"&amp;EDATE(A38,1))</f>
        <v>0</v>
      </c>
      <c r="W38" s="5"/>
      <c r="X38" s="5" t="s">
        <f>IF(MONTH('Previdência_(série)'!$A38)=1,'Previdência_(série)'!$W38,'Previdência_(série)'!$W38-W37)</f>
      </c>
      <c r="Y38" s="5">
        <f>SUMIFS('Previdência_(série)'!$X$2:$X$166,'Previdência_(série)'!$A$2:$A$166,"&gt;"&amp;EDATE('Previdência_(série)'!$A38,-12),'Previdência_(série)'!$A$2:$A$166,"&lt;"&amp;EDATE(A38,1))</f>
        <v>0</v>
      </c>
      <c r="Z38" s="199"/>
      <c r="AA38" s="1"/>
      <c r="AB38" s="1"/>
      <c r="AC38" s="1"/>
      <c r="AD38" s="4" t="s">
        <v>586</v>
      </c>
      <c r="AE38" s="17">
        <v>40544</v>
      </c>
      <c r="AF38" s="4">
        <v>2011</v>
      </c>
    </row>
    <row ht="13.8" outlineLevel="0" r="39">
      <c r="A39" s="17">
        <v>40575</v>
      </c>
      <c r="B39" s="5">
        <v>35601021488.99</v>
      </c>
      <c r="C39" s="5">
        <f>IF(MONTH('Previdência_(série)'!$A39)=1,'Previdência_(série)'!$B39,'Previdência_(série)'!$B39-B38)</f>
        <v>17046125003.15</v>
      </c>
      <c r="D39" s="5">
        <f>SUMIFS('Previdência_(série)'!$C$2:$C$166,'Previdência_(série)'!$A$2:$A$166,"&gt;"&amp;EDATE('Previdência_(série)'!$A39,-12),'Previdência_(série)'!$A$2:$A$166,"&lt;"&amp;EDATE(A39,1))</f>
        <v>217292034413.75</v>
      </c>
      <c r="E39" s="5">
        <v>44309134616.26</v>
      </c>
      <c r="F39" s="5">
        <f>IF(MONTH('Previdência_(série)'!$A39)=1,'Previdência_(série)'!$E39,'Previdência_(série)'!$E39-E38)</f>
        <v>21132464476.78</v>
      </c>
      <c r="G39" s="5">
        <f>SUMIFS('Previdência_(série)'!$F$2:$F$166,'Previdência_(série)'!$A$2:$A$166,"&gt;"&amp;EDATE('Previdência_(série)'!$A39,-12),'Previdência_(série)'!$A$2:$A$166,"&lt;"&amp;EDATE(A39,1))</f>
        <v>261119765918.43</v>
      </c>
      <c r="H39" s="5">
        <v>3412839879.82</v>
      </c>
      <c r="I39" s="5">
        <f>IF(MONTH('Previdência_(série)'!$A39)=1,'Previdência_(série)'!$H39,'Previdência_(série)'!$H39-H38)</f>
        <v>1685667041.77</v>
      </c>
      <c r="J39" s="5">
        <f>SUMIFS('Previdência_(série)'!$I$2:$I$166,'Previdência_(série)'!$A$2:$A$166,"&gt;"&amp;EDATE('Previdência_(série)'!$A39,-12),'Previdência_(série)'!$A$2:$A$166,"&lt;"&amp;EDATE(A39,1))</f>
        <v>21210675585.73</v>
      </c>
      <c r="K39" s="5">
        <v>8640227823.16</v>
      </c>
      <c r="L39" s="5">
        <f>IF(MONTH('Previdência_(série)'!$A39)=1,'Previdência_(série)'!$K39,'Previdência_(série)'!$K39-K38)</f>
        <v>4297856909.17</v>
      </c>
      <c r="M39" s="5">
        <f>SUMIFS('Previdência_(série)'!$L$2:$L$166,'Previdência_(série)'!$A$2:$A$166,"&gt;"&amp;EDATE('Previdência_(série)'!$A39,-12),'Previdência_(série)'!$A$2:$A$166,"&lt;"&amp;EDATE(A39,1))</f>
        <v>53319129945.59</v>
      </c>
      <c r="N39" s="5">
        <v>329608830.14</v>
      </c>
      <c r="O39" s="5">
        <f>IF(MONTH('Previdência_(série)'!$A39)=1,'Previdência_(série)'!$N39,'Previdência_(série)'!$N39-N38)</f>
        <v>164995002</v>
      </c>
      <c r="P39" s="5">
        <f>SUMIFS('Previdência_(série)'!$O$2:$O$166,'Previdência_(série)'!$A$2:$A$166,"&gt;"&amp;EDATE('Previdência_(série)'!$A39,-12),'Previdência_(série)'!$A$2:$A$166,"&lt;"&amp;EDATE(A39,1))</f>
        <v>1901899369.31</v>
      </c>
      <c r="Q39" s="5">
        <v>3339983605.76</v>
      </c>
      <c r="R39" s="5">
        <f>IF(MONTH('Previdência_(série)'!$A39)=1,'Previdência_(série)'!$Q39,'Previdência_(série)'!$Q39-Q38)</f>
        <v>1660787433.24</v>
      </c>
      <c r="S39" s="5">
        <f>SUMIFS('Previdência_(série)'!$R$2:$R$166,'Previdência_(série)'!$A$2:$A$166,"&gt;"&amp;EDATE('Previdência_(série)'!$A39,-12),'Previdência_(série)'!$A$2:$A$166,"&lt;"&amp;EDATE(A39,1))</f>
        <v>21849228879.5</v>
      </c>
      <c r="T39" s="5"/>
      <c r="U39" s="5">
        <f>IF(MONTH('Previdência_(série)'!$A39)=1,'Previdência_(série)'!$T39,'Previdência_(série)'!$T39-T38)</f>
        <v>0</v>
      </c>
      <c r="V39" s="5">
        <f>SUMIFS('Previdência_(série)'!$U$2:$U$166,'Previdência_(série)'!$A$2:$A$166,"&gt;"&amp;EDATE('Previdência_(série)'!$A39,-12),'Previdência_(série)'!$A$2:$A$166,"&lt;"&amp;EDATE(A39,1))</f>
        <v>0</v>
      </c>
      <c r="W39" s="5"/>
      <c r="X39" s="5">
        <f>IF(MONTH('Previdência_(série)'!$A39)=1,'Previdência_(série)'!$W39,'Previdência_(série)'!$W39-W38)</f>
        <v>0</v>
      </c>
      <c r="Y39" s="5">
        <f>SUMIFS('Previdência_(série)'!$X$2:$X$166,'Previdência_(série)'!$A$2:$A$166,"&gt;"&amp;EDATE('Previdência_(série)'!$A39,-12),'Previdência_(série)'!$A$2:$A$166,"&lt;"&amp;EDATE(A39,1))</f>
        <v>0</v>
      </c>
      <c r="Z39" s="199"/>
      <c r="AA39" s="1"/>
      <c r="AB39" s="1"/>
      <c r="AC39" s="1"/>
      <c r="AD39" s="4" t="s">
        <v>587</v>
      </c>
      <c r="AE39" s="17">
        <v>40575</v>
      </c>
      <c r="AF39" s="4">
        <v>2011</v>
      </c>
    </row>
    <row ht="13.8" outlineLevel="0" r="40">
      <c r="A40" s="17">
        <v>40603</v>
      </c>
      <c r="B40" s="5">
        <v>53545224365.23</v>
      </c>
      <c r="C40" s="5">
        <f>IF(MONTH('Previdência_(série)'!$A40)=1,'Previdência_(série)'!$B40,'Previdência_(série)'!$B40-B39)</f>
        <v>17944202876.24</v>
      </c>
      <c r="D40" s="5">
        <f>SUMIFS('Previdência_(série)'!$C$2:$C$166,'Previdência_(série)'!$A$2:$A$166,"&gt;"&amp;EDATE('Previdência_(série)'!$A40,-12),'Previdência_(série)'!$A$2:$A$166,"&lt;"&amp;EDATE(A40,1))</f>
        <v>218927541215.89</v>
      </c>
      <c r="E40" s="5">
        <v>65554279343.36</v>
      </c>
      <c r="F40" s="5">
        <f>IF(MONTH('Previdência_(série)'!$A40)=1,'Previdência_(série)'!$E40,'Previdência_(série)'!$E40-E39)</f>
        <v>21245144727.1</v>
      </c>
      <c r="G40" s="5">
        <f>SUMIFS('Previdência_(série)'!$F$2:$F$166,'Previdência_(série)'!$A$2:$A$166,"&gt;"&amp;EDATE('Previdência_(série)'!$A40,-12),'Previdência_(série)'!$A$2:$A$166,"&lt;"&amp;EDATE(A40,1))</f>
        <v>259891287170.15</v>
      </c>
      <c r="H40" s="5">
        <v>5135531661.62</v>
      </c>
      <c r="I40" s="5">
        <f>IF(MONTH('Previdência_(série)'!$A40)=1,'Previdência_(série)'!$H40,'Previdência_(série)'!$H40-H39)</f>
        <v>1722691781.8</v>
      </c>
      <c r="J40" s="5">
        <f>SUMIFS('Previdência_(série)'!$I$2:$I$166,'Previdência_(série)'!$A$2:$A$166,"&gt;"&amp;EDATE('Previdência_(série)'!$A40,-12),'Previdência_(série)'!$A$2:$A$166,"&lt;"&amp;EDATE(A40,1))</f>
        <v>21473262361.34</v>
      </c>
      <c r="K40" s="5">
        <v>13066356457.17</v>
      </c>
      <c r="L40" s="5">
        <f>IF(MONTH('Previdência_(série)'!$A40)=1,'Previdência_(série)'!$K40,'Previdência_(série)'!$K40-K39)</f>
        <v>4426128634.01</v>
      </c>
      <c r="M40" s="5">
        <f>SUMIFS('Previdência_(série)'!$L$2:$L$166,'Previdência_(série)'!$A$2:$A$166,"&gt;"&amp;EDATE('Previdência_(série)'!$A40,-12),'Previdência_(série)'!$A$2:$A$166,"&lt;"&amp;EDATE(A40,1))</f>
        <v>53609927467.68</v>
      </c>
      <c r="N40" s="5">
        <v>494710760.61</v>
      </c>
      <c r="O40" s="5">
        <f>IF(MONTH('Previdência_(série)'!$A40)=1,'Previdência_(série)'!$N40,'Previdência_(série)'!$N40-N39)</f>
        <v>165101930.47</v>
      </c>
      <c r="P40" s="5">
        <f>SUMIFS('Previdência_(série)'!$O$2:$O$166,'Previdência_(série)'!$A$2:$A$166,"&gt;"&amp;EDATE('Previdência_(série)'!$A40,-12),'Previdência_(série)'!$A$2:$A$166,"&lt;"&amp;EDATE(A40,1))</f>
        <v>1918861738.29</v>
      </c>
      <c r="Q40" s="5">
        <v>5032795590.05</v>
      </c>
      <c r="R40" s="5">
        <f>IF(MONTH('Previdência_(série)'!$A40)=1,'Previdência_(série)'!$Q40,'Previdência_(série)'!$Q40-Q39)</f>
        <v>1692811984.29</v>
      </c>
      <c r="S40" s="5">
        <f>SUMIFS('Previdência_(série)'!$R$2:$R$166,'Previdência_(série)'!$A$2:$A$166,"&gt;"&amp;EDATE('Previdência_(série)'!$A40,-12),'Previdência_(série)'!$A$2:$A$166,"&lt;"&amp;EDATE(A40,1))</f>
        <v>21977398094.43</v>
      </c>
      <c r="T40" s="5"/>
      <c r="U40" s="5">
        <f>IF(MONTH('Previdência_(série)'!$A40)=1,'Previdência_(série)'!$T40,'Previdência_(série)'!$T40-T39)</f>
        <v>0</v>
      </c>
      <c r="V40" s="5">
        <f>SUMIFS('Previdência_(série)'!$U$2:$U$166,'Previdência_(série)'!$A$2:$A$166,"&gt;"&amp;EDATE('Previdência_(série)'!$A40,-12),'Previdência_(série)'!$A$2:$A$166,"&lt;"&amp;EDATE(A40,1))</f>
        <v>0</v>
      </c>
      <c r="W40" s="5"/>
      <c r="X40" s="5">
        <f>IF(MONTH('Previdência_(série)'!$A40)=1,'Previdência_(série)'!$W40,'Previdência_(série)'!$W40-W39)</f>
        <v>0</v>
      </c>
      <c r="Y40" s="5">
        <f>SUMIFS('Previdência_(série)'!$X$2:$X$166,'Previdência_(série)'!$A$2:$A$166,"&gt;"&amp;EDATE('Previdência_(série)'!$A40,-12),'Previdência_(série)'!$A$2:$A$166,"&lt;"&amp;EDATE(A40,1))</f>
        <v>0</v>
      </c>
      <c r="Z40" s="199"/>
      <c r="AA40" s="1"/>
      <c r="AB40" s="1"/>
      <c r="AC40" s="1"/>
      <c r="AD40" s="4" t="s">
        <v>588</v>
      </c>
      <c r="AE40" s="17">
        <v>40603</v>
      </c>
      <c r="AF40" s="4">
        <v>2011</v>
      </c>
    </row>
    <row ht="13.8" outlineLevel="0" r="41">
      <c r="A41" s="17">
        <v>40634</v>
      </c>
      <c r="B41" s="5">
        <v>73040420360.35</v>
      </c>
      <c r="C41" s="5">
        <f>IF(MONTH('Previdência_(série)'!$A41)=1,'Previdência_(série)'!$B41,'Previdência_(série)'!$B41-B40)</f>
        <v>19495195995.12</v>
      </c>
      <c r="D41" s="5">
        <f>SUMIFS('Previdência_(série)'!$C$2:$C$166,'Previdência_(série)'!$A$2:$A$166,"&gt;"&amp;EDATE('Previdência_(série)'!$A41,-12),'Previdência_(série)'!$A$2:$A$166,"&lt;"&amp;EDATE(A41,1))</f>
        <v>221606496045.08</v>
      </c>
      <c r="E41" s="5">
        <v>89801679414.76</v>
      </c>
      <c r="F41" s="5">
        <f>IF(MONTH('Previdência_(série)'!$A41)=1,'Previdência_(série)'!$E41,'Previdência_(série)'!$E41-E40)</f>
        <v>24247400071.4</v>
      </c>
      <c r="G41" s="5">
        <f>SUMIFS('Previdência_(série)'!$F$2:$F$166,'Previdência_(série)'!$A$2:$A$166,"&gt;"&amp;EDATE('Previdência_(série)'!$A41,-12),'Previdência_(série)'!$A$2:$A$166,"&lt;"&amp;EDATE(A41,1))</f>
        <v>264743765036.44</v>
      </c>
      <c r="H41" s="5">
        <v>6826315726.91</v>
      </c>
      <c r="I41" s="5">
        <f>IF(MONTH('Previdência_(série)'!$A41)=1,'Previdência_(série)'!$H41,'Previdência_(série)'!$H41-H40)</f>
        <v>1690784065.29</v>
      </c>
      <c r="J41" s="5">
        <f>SUMIFS('Previdência_(série)'!$I$2:$I$166,'Previdência_(série)'!$A$2:$A$166,"&gt;"&amp;EDATE('Previdência_(série)'!$A41,-12),'Previdência_(série)'!$A$2:$A$166,"&lt;"&amp;EDATE(A41,1))</f>
        <v>21608902375.87</v>
      </c>
      <c r="K41" s="5">
        <v>17572825114.79</v>
      </c>
      <c r="L41" s="5">
        <f>IF(MONTH('Previdência_(série)'!$A41)=1,'Previdência_(série)'!$K41,'Previdência_(série)'!$K41-K40)</f>
        <v>4506468657.62</v>
      </c>
      <c r="M41" s="5">
        <f>SUMIFS('Previdência_(série)'!$L$2:$L$166,'Previdência_(série)'!$A$2:$A$166,"&gt;"&amp;EDATE('Previdência_(série)'!$A41,-12),'Previdência_(série)'!$A$2:$A$166,"&lt;"&amp;EDATE(A41,1))</f>
        <v>54274805850.44</v>
      </c>
      <c r="N41" s="5">
        <v>659692241.17</v>
      </c>
      <c r="O41" s="5">
        <f>IF(MONTH('Previdência_(série)'!$A41)=1,'Previdência_(série)'!$N41,'Previdência_(série)'!$N41-N40)</f>
        <v>164981480.56</v>
      </c>
      <c r="P41" s="5">
        <f>SUMIFS('Previdência_(série)'!$O$2:$O$166,'Previdência_(série)'!$A$2:$A$166,"&gt;"&amp;EDATE('Previdência_(série)'!$A41,-12),'Previdência_(série)'!$A$2:$A$166,"&lt;"&amp;EDATE(A41,1))</f>
        <v>1934579284.5</v>
      </c>
      <c r="Q41" s="5">
        <v>6740033642.62</v>
      </c>
      <c r="R41" s="5">
        <f>IF(MONTH('Previdência_(série)'!$A41)=1,'Previdência_(série)'!$Q41,'Previdência_(série)'!$Q41-Q40)</f>
        <v>1707238052.57</v>
      </c>
      <c r="S41" s="5">
        <f>SUMIFS('Previdência_(série)'!$R$2:$R$166,'Previdência_(série)'!$A$2:$A$166,"&gt;"&amp;EDATE('Previdência_(série)'!$A41,-12),'Previdência_(série)'!$A$2:$A$166,"&lt;"&amp;EDATE(A41,1))</f>
        <v>22070349572.6</v>
      </c>
      <c r="T41" s="5"/>
      <c r="U41" s="5">
        <f>IF(MONTH('Previdência_(série)'!$A41)=1,'Previdência_(série)'!$T41,'Previdência_(série)'!$T41-T40)</f>
        <v>0</v>
      </c>
      <c r="V41" s="5">
        <f>SUMIFS('Previdência_(série)'!$U$2:$U$166,'Previdência_(série)'!$A$2:$A$166,"&gt;"&amp;EDATE('Previdência_(série)'!$A41,-12),'Previdência_(série)'!$A$2:$A$166,"&lt;"&amp;EDATE(A41,1))</f>
        <v>0</v>
      </c>
      <c r="W41" s="5"/>
      <c r="X41" s="5">
        <f>IF(MONTH('Previdência_(série)'!$A41)=1,'Previdência_(série)'!$W41,'Previdência_(série)'!$W41-W40)</f>
        <v>0</v>
      </c>
      <c r="Y41" s="5">
        <f>SUMIFS('Previdência_(série)'!$X$2:$X$166,'Previdência_(série)'!$A$2:$A$166,"&gt;"&amp;EDATE('Previdência_(série)'!$A41,-12),'Previdência_(série)'!$A$2:$A$166,"&lt;"&amp;EDATE(A41,1))</f>
        <v>0</v>
      </c>
      <c r="Z41" s="199"/>
      <c r="AA41" s="1"/>
      <c r="AB41" s="1"/>
      <c r="AC41" s="1"/>
      <c r="AD41" s="4" t="s">
        <v>589</v>
      </c>
      <c r="AE41" s="17">
        <v>40634</v>
      </c>
      <c r="AF41" s="4">
        <v>2011</v>
      </c>
    </row>
    <row ht="13.8" outlineLevel="0" r="42">
      <c r="A42" s="17">
        <v>40664</v>
      </c>
      <c r="B42" s="5">
        <v>91914388321.53</v>
      </c>
      <c r="C42" s="5">
        <f>IF(MONTH('Previdência_(série)'!$A42)=1,'Previdência_(série)'!$B42,'Previdência_(série)'!$B42-B41)</f>
        <v>18873967961.18</v>
      </c>
      <c r="D42" s="5">
        <f>SUMIFS('Previdência_(série)'!$C$2:$C$166,'Previdência_(série)'!$A$2:$A$166,"&gt;"&amp;EDATE('Previdência_(série)'!$A42,-12),'Previdência_(série)'!$A$2:$A$166,"&lt;"&amp;EDATE(A42,1))</f>
        <v>224095326623.71</v>
      </c>
      <c r="E42" s="5">
        <v>111313183299.06</v>
      </c>
      <c r="F42" s="5">
        <f>IF(MONTH('Previdência_(série)'!$A42)=1,'Previdência_(série)'!$E42,'Previdência_(série)'!$E42-E41)</f>
        <v>21511503884.3</v>
      </c>
      <c r="G42" s="5">
        <f>SUMIFS('Previdência_(série)'!$F$2:$F$166,'Previdência_(série)'!$A$2:$A$166,"&gt;"&amp;EDATE('Previdência_(série)'!$A42,-12),'Previdência_(série)'!$A$2:$A$166,"&lt;"&amp;EDATE(A42,1))</f>
        <v>266724375740.27</v>
      </c>
      <c r="H42" s="5">
        <v>8502408222.65</v>
      </c>
      <c r="I42" s="5">
        <f>IF(MONTH('Previdência_(série)'!$A42)=1,'Previdência_(série)'!$H42,'Previdência_(série)'!$H42-H41)</f>
        <v>1676092495.74</v>
      </c>
      <c r="J42" s="5">
        <f>SUMIFS('Previdência_(série)'!$I$2:$I$166,'Previdência_(série)'!$A$2:$A$166,"&gt;"&amp;EDATE('Previdência_(série)'!$A42,-12),'Previdência_(série)'!$A$2:$A$166,"&lt;"&amp;EDATE(A42,1))</f>
        <v>21763991478.74</v>
      </c>
      <c r="K42" s="5">
        <v>21950826466.68</v>
      </c>
      <c r="L42" s="5">
        <f>IF(MONTH('Previdência_(série)'!$A42)=1,'Previdência_(série)'!$K42,'Previdência_(série)'!$K42-K41)</f>
        <v>4378001351.89</v>
      </c>
      <c r="M42" s="5">
        <f>SUMIFS('Previdência_(série)'!$L$2:$L$166,'Previdência_(série)'!$A$2:$A$166,"&gt;"&amp;EDATE('Previdência_(série)'!$A42,-12),'Previdência_(série)'!$A$2:$A$166,"&lt;"&amp;EDATE(A42,1))</f>
        <v>54662431780.34</v>
      </c>
      <c r="N42" s="5">
        <v>824661576.98</v>
      </c>
      <c r="O42" s="5">
        <f>IF(MONTH('Previdência_(série)'!$A42)=1,'Previdência_(série)'!$N42,'Previdência_(série)'!$N42-N41)</f>
        <v>164969335.81</v>
      </c>
      <c r="P42" s="5">
        <f>SUMIFS('Previdência_(série)'!$O$2:$O$166,'Previdência_(série)'!$A$2:$A$166,"&gt;"&amp;EDATE('Previdência_(série)'!$A42,-12),'Previdência_(série)'!$A$2:$A$166,"&lt;"&amp;EDATE(A42,1))</f>
        <v>1950650769.64</v>
      </c>
      <c r="Q42" s="5">
        <v>8415241992.99</v>
      </c>
      <c r="R42" s="5">
        <f>IF(MONTH('Previdência_(série)'!$A42)=1,'Previdência_(série)'!$Q42,'Previdência_(série)'!$Q42-Q41)</f>
        <v>1675208350.37</v>
      </c>
      <c r="S42" s="5">
        <f>SUMIFS('Previdência_(série)'!$R$2:$R$166,'Previdência_(série)'!$A$2:$A$166,"&gt;"&amp;EDATE('Previdência_(série)'!$A42,-12),'Previdência_(série)'!$A$2:$A$166,"&lt;"&amp;EDATE(A42,1))</f>
        <v>22196157526.99</v>
      </c>
      <c r="T42" s="5"/>
      <c r="U42" s="5">
        <f>IF(MONTH('Previdência_(série)'!$A42)=1,'Previdência_(série)'!$T42,'Previdência_(série)'!$T42-T41)</f>
        <v>0</v>
      </c>
      <c r="V42" s="5">
        <f>SUMIFS('Previdência_(série)'!$U$2:$U$166,'Previdência_(série)'!$A$2:$A$166,"&gt;"&amp;EDATE('Previdência_(série)'!$A42,-12),'Previdência_(série)'!$A$2:$A$166,"&lt;"&amp;EDATE(A42,1))</f>
        <v>0</v>
      </c>
      <c r="W42" s="5"/>
      <c r="X42" s="5">
        <f>IF(MONTH('Previdência_(série)'!$A42)=1,'Previdência_(série)'!$W42,'Previdência_(série)'!$W42-W41)</f>
        <v>0</v>
      </c>
      <c r="Y42" s="5">
        <f>SUMIFS('Previdência_(série)'!$X$2:$X$166,'Previdência_(série)'!$A$2:$A$166,"&gt;"&amp;EDATE('Previdência_(série)'!$A42,-12),'Previdência_(série)'!$A$2:$A$166,"&lt;"&amp;EDATE(A42,1))</f>
        <v>0</v>
      </c>
      <c r="Z42" s="199"/>
      <c r="AA42" s="1"/>
      <c r="AB42" s="1"/>
      <c r="AC42" s="1"/>
      <c r="AD42" s="4" t="s">
        <v>590</v>
      </c>
      <c r="AE42" s="17">
        <v>40664</v>
      </c>
      <c r="AF42" s="4">
        <v>2011</v>
      </c>
    </row>
    <row ht="13.8" outlineLevel="0" r="43">
      <c r="A43" s="17">
        <v>40695</v>
      </c>
      <c r="B43" s="5">
        <v>111260082587.83</v>
      </c>
      <c r="C43" s="5">
        <f>IF(MONTH('Previdência_(série)'!$A43)=1,'Previdência_(série)'!$B43,'Previdência_(série)'!$B43-B42)</f>
        <v>19345694266.3</v>
      </c>
      <c r="D43" s="5">
        <f>SUMIFS('Previdência_(série)'!$C$2:$C$166,'Previdência_(série)'!$A$2:$A$166,"&gt;"&amp;EDATE('Previdência_(série)'!$A43,-12),'Previdência_(série)'!$A$2:$A$166,"&lt;"&amp;EDATE(A43,1))</f>
        <v>227912941235.83</v>
      </c>
      <c r="E43" s="5">
        <v>132887353730.44</v>
      </c>
      <c r="F43" s="5">
        <f>IF(MONTH('Previdência_(série)'!$A43)=1,'Previdência_(série)'!$E43,'Previdência_(série)'!$E43-E42)</f>
        <v>21574170431.38</v>
      </c>
      <c r="G43" s="5">
        <f>SUMIFS('Previdência_(série)'!$F$2:$F$166,'Previdência_(série)'!$A$2:$A$166,"&gt;"&amp;EDATE('Previdência_(série)'!$A43,-12),'Previdência_(série)'!$A$2:$A$166,"&lt;"&amp;EDATE(A43,1))</f>
        <v>268835437738.67</v>
      </c>
      <c r="H43" s="5">
        <v>10273751517.54</v>
      </c>
      <c r="I43" s="5">
        <f>IF(MONTH('Previdência_(série)'!$A43)=1,'Previdência_(série)'!$H43,'Previdência_(série)'!$H43-H42)</f>
        <v>1771343294.89</v>
      </c>
      <c r="J43" s="5">
        <f>SUMIFS('Previdência_(série)'!$I$2:$I$166,'Previdência_(série)'!$A$2:$A$166,"&gt;"&amp;EDATE('Previdência_(série)'!$A43,-12),'Previdência_(série)'!$A$2:$A$166,"&lt;"&amp;EDATE(A43,1))</f>
        <v>22031345846.83</v>
      </c>
      <c r="K43" s="5">
        <v>27842221571.26</v>
      </c>
      <c r="L43" s="5">
        <f>IF(MONTH('Previdência_(série)'!$A43)=1,'Previdência_(série)'!$K43,'Previdência_(série)'!$K43-K42)</f>
        <v>5891395104.58</v>
      </c>
      <c r="M43" s="5">
        <f>SUMIFS('Previdência_(série)'!$L$2:$L$166,'Previdência_(série)'!$A$2:$A$166,"&gt;"&amp;EDATE('Previdência_(série)'!$A43,-12),'Previdência_(série)'!$A$2:$A$166,"&lt;"&amp;EDATE(A43,1))</f>
        <v>55320968575.66</v>
      </c>
      <c r="N43" s="5">
        <v>990373410.15</v>
      </c>
      <c r="O43" s="5">
        <f>IF(MONTH('Previdência_(série)'!$A43)=1,'Previdência_(série)'!$N43,'Previdência_(série)'!$N43-N42)</f>
        <v>165711833.17</v>
      </c>
      <c r="P43" s="5">
        <f>SUMIFS('Previdência_(série)'!$O$2:$O$166,'Previdência_(série)'!$A$2:$A$166,"&gt;"&amp;EDATE('Previdência_(série)'!$A43,-12),'Previdência_(série)'!$A$2:$A$166,"&lt;"&amp;EDATE(A43,1))</f>
        <v>1967324045.6</v>
      </c>
      <c r="Q43" s="5">
        <v>11075810036.2</v>
      </c>
      <c r="R43" s="5">
        <f>IF(MONTH('Previdência_(série)'!$A43)=1,'Previdência_(série)'!$Q43,'Previdência_(série)'!$Q43-Q42)</f>
        <v>2660568043.21</v>
      </c>
      <c r="S43" s="5">
        <f>SUMIFS('Previdência_(série)'!$R$2:$R$166,'Previdência_(série)'!$A$2:$A$166,"&gt;"&amp;EDATE('Previdência_(série)'!$A43,-12),'Previdência_(série)'!$A$2:$A$166,"&lt;"&amp;EDATE(A43,1))</f>
        <v>22429442478.98</v>
      </c>
      <c r="T43" s="5"/>
      <c r="U43" s="5">
        <f>IF(MONTH('Previdência_(série)'!$A43)=1,'Previdência_(série)'!$T43,'Previdência_(série)'!$T43-T42)</f>
        <v>0</v>
      </c>
      <c r="V43" s="5">
        <f>SUMIFS('Previdência_(série)'!$U$2:$U$166,'Previdência_(série)'!$A$2:$A$166,"&gt;"&amp;EDATE('Previdência_(série)'!$A43,-12),'Previdência_(série)'!$A$2:$A$166,"&lt;"&amp;EDATE(A43,1))</f>
        <v>0</v>
      </c>
      <c r="W43" s="5"/>
      <c r="X43" s="5">
        <f>IF(MONTH('Previdência_(série)'!$A43)=1,'Previdência_(série)'!$W43,'Previdência_(série)'!$W43-W42)</f>
        <v>0</v>
      </c>
      <c r="Y43" s="5">
        <f>SUMIFS('Previdência_(série)'!$X$2:$X$166,'Previdência_(série)'!$A$2:$A$166,"&gt;"&amp;EDATE('Previdência_(série)'!$A43,-12),'Previdência_(série)'!$A$2:$A$166,"&lt;"&amp;EDATE(A43,1))</f>
        <v>0</v>
      </c>
      <c r="Z43" s="199"/>
      <c r="AA43" s="1"/>
      <c r="AB43" s="1"/>
      <c r="AC43" s="1"/>
      <c r="AD43" s="4" t="s">
        <v>591</v>
      </c>
      <c r="AE43" s="17">
        <v>40695</v>
      </c>
      <c r="AF43" s="4">
        <v>2011</v>
      </c>
    </row>
    <row ht="13.8" outlineLevel="0" r="44">
      <c r="A44" s="17">
        <v>40725</v>
      </c>
      <c r="B44" s="5">
        <v>129935328088.22</v>
      </c>
      <c r="C44" s="5">
        <f>IF(MONTH('Previdência_(série)'!$A44)=1,'Previdência_(série)'!$B44,'Previdência_(série)'!$B44-B43)</f>
        <v>18675245500.39</v>
      </c>
      <c r="D44" s="5">
        <f>SUMIFS('Previdência_(série)'!$C$2:$C$166,'Previdência_(série)'!$A$2:$A$166,"&gt;"&amp;EDATE('Previdência_(série)'!$A44,-12),'Previdência_(série)'!$A$2:$A$166,"&lt;"&amp;EDATE(A44,1))</f>
        <v>228726362380.85</v>
      </c>
      <c r="E44" s="5">
        <v>154810741042.36</v>
      </c>
      <c r="F44" s="5">
        <f>IF(MONTH('Previdência_(série)'!$A44)=1,'Previdência_(série)'!$E44,'Previdência_(série)'!$E44-E43)</f>
        <v>21923387311.92</v>
      </c>
      <c r="G44" s="5">
        <f>SUMIFS('Previdência_(série)'!$F$2:$F$166,'Previdência_(série)'!$A$2:$A$166,"&gt;"&amp;EDATE('Previdência_(série)'!$A44,-12),'Previdência_(série)'!$A$2:$A$166,"&lt;"&amp;EDATE(A44,1))</f>
        <v>270047448537.22</v>
      </c>
      <c r="H44" s="5">
        <v>12045607165.6</v>
      </c>
      <c r="I44" s="5">
        <f>IF(MONTH('Previdência_(série)'!$A44)=1,'Previdência_(série)'!$H44,'Previdência_(série)'!$H44-H43)</f>
        <v>1771855648.06</v>
      </c>
      <c r="J44" s="5">
        <f>SUMIFS('Previdência_(série)'!$I$2:$I$166,'Previdência_(série)'!$A$2:$A$166,"&gt;"&amp;EDATE('Previdência_(série)'!$A44,-12),'Previdência_(série)'!$A$2:$A$166,"&lt;"&amp;EDATE(A44,1))</f>
        <v>22163273093.27</v>
      </c>
      <c r="K44" s="5">
        <v>32356741519.48</v>
      </c>
      <c r="L44" s="5">
        <f>IF(MONTH('Previdência_(série)'!$A44)=1,'Previdência_(série)'!$K44,'Previdência_(série)'!$K44-K43)</f>
        <v>4514519948.22</v>
      </c>
      <c r="M44" s="5">
        <f>SUMIFS('Previdência_(série)'!$L$2:$L$166,'Previdência_(série)'!$A$2:$A$166,"&gt;"&amp;EDATE('Previdência_(série)'!$A44,-12),'Previdência_(série)'!$A$2:$A$166,"&lt;"&amp;EDATE(A44,1))</f>
        <v>55634310539.23</v>
      </c>
      <c r="N44" s="5">
        <v>1155765578.04</v>
      </c>
      <c r="O44" s="5">
        <f>IF(MONTH('Previdência_(série)'!$A44)=1,'Previdência_(série)'!$N44,'Previdência_(série)'!$N44-N43)</f>
        <v>165392167.89</v>
      </c>
      <c r="P44" s="5">
        <f>SUMIFS('Previdência_(série)'!$O$2:$O$166,'Previdência_(série)'!$A$2:$A$166,"&gt;"&amp;EDATE('Previdência_(série)'!$A44,-12),'Previdência_(série)'!$A$2:$A$166,"&lt;"&amp;EDATE(A44,1))</f>
        <v>1973476286.17</v>
      </c>
      <c r="Q44" s="5">
        <v>12749630960.85</v>
      </c>
      <c r="R44" s="5">
        <f>IF(MONTH('Previdência_(série)'!$A44)=1,'Previdência_(série)'!$Q44,'Previdência_(série)'!$Q44-Q43)</f>
        <v>1673820924.65</v>
      </c>
      <c r="S44" s="5">
        <f>SUMIFS('Previdência_(série)'!$R$2:$R$166,'Previdência_(série)'!$A$2:$A$166,"&gt;"&amp;EDATE('Previdência_(série)'!$A44,-12),'Previdência_(série)'!$A$2:$A$166,"&lt;"&amp;EDATE(A44,1))</f>
        <v>22400556172.76</v>
      </c>
      <c r="T44" s="5"/>
      <c r="U44" s="5">
        <f>IF(MONTH('Previdência_(série)'!$A44)=1,'Previdência_(série)'!$T44,'Previdência_(série)'!$T44-T43)</f>
        <v>0</v>
      </c>
      <c r="V44" s="5">
        <f>SUMIFS('Previdência_(série)'!$U$2:$U$166,'Previdência_(série)'!$A$2:$A$166,"&gt;"&amp;EDATE('Previdência_(série)'!$A44,-12),'Previdência_(série)'!$A$2:$A$166,"&lt;"&amp;EDATE(A44,1))</f>
        <v>0</v>
      </c>
      <c r="W44" s="5"/>
      <c r="X44" s="5">
        <f>IF(MONTH('Previdência_(série)'!$A44)=1,'Previdência_(série)'!$W44,'Previdência_(série)'!$W44-W43)</f>
        <v>0</v>
      </c>
      <c r="Y44" s="5">
        <f>SUMIFS('Previdência_(série)'!$X$2:$X$166,'Previdência_(série)'!$A$2:$A$166,"&gt;"&amp;EDATE('Previdência_(série)'!$A44,-12),'Previdência_(série)'!$A$2:$A$166,"&lt;"&amp;EDATE(A44,1))</f>
        <v>0</v>
      </c>
      <c r="Z44" s="199"/>
      <c r="AA44" s="1"/>
      <c r="AB44" s="1"/>
      <c r="AC44" s="1"/>
      <c r="AD44" s="4" t="s">
        <v>592</v>
      </c>
      <c r="AE44" s="17">
        <v>40725</v>
      </c>
      <c r="AF44" s="4">
        <v>2011</v>
      </c>
    </row>
    <row ht="13.8" outlineLevel="0" r="45">
      <c r="A45" s="17">
        <v>40756</v>
      </c>
      <c r="B45" s="5">
        <v>150388931317.93</v>
      </c>
      <c r="C45" s="5">
        <f>IF(MONTH('Previdência_(série)'!$A45)=1,'Previdência_(série)'!$B45,'Previdência_(série)'!$B45-B44)</f>
        <v>20453603229.71</v>
      </c>
      <c r="D45" s="5">
        <f>SUMIFS('Previdência_(série)'!$C$2:$C$166,'Previdência_(série)'!$A$2:$A$166,"&gt;"&amp;EDATE('Previdência_(série)'!$A45,-12),'Previdência_(série)'!$A$2:$A$166,"&lt;"&amp;EDATE(A45,1))</f>
        <v>231950974907.84</v>
      </c>
      <c r="E45" s="5">
        <v>186834173363.72</v>
      </c>
      <c r="F45" s="5">
        <f>IF(MONTH('Previdência_(série)'!$A45)=1,'Previdência_(série)'!$E45,'Previdência_(série)'!$E45-E44)</f>
        <v>32023432321.36</v>
      </c>
      <c r="G45" s="5">
        <f>SUMIFS('Previdência_(série)'!$F$2:$F$166,'Previdência_(série)'!$A$2:$A$166,"&gt;"&amp;EDATE('Previdência_(série)'!$A45,-12),'Previdência_(série)'!$A$2:$A$166,"&lt;"&amp;EDATE(A45,1))</f>
        <v>273434200018.32</v>
      </c>
      <c r="H45" s="5">
        <v>13778991843.79</v>
      </c>
      <c r="I45" s="5">
        <f>IF(MONTH('Previdência_(série)'!$A45)=1,'Previdência_(série)'!$H45,'Previdência_(série)'!$H45-H44)</f>
        <v>1733384678.19</v>
      </c>
      <c r="J45" s="5">
        <f>SUMIFS('Previdência_(série)'!$I$2:$I$166,'Previdência_(série)'!$A$2:$A$166,"&gt;"&amp;EDATE('Previdência_(série)'!$A45,-12),'Previdência_(série)'!$A$2:$A$166,"&lt;"&amp;EDATE(A45,1))</f>
        <v>22255829944.08</v>
      </c>
      <c r="K45" s="5">
        <v>36750148350.18</v>
      </c>
      <c r="L45" s="5">
        <f>IF(MONTH('Previdência_(série)'!$A45)=1,'Previdência_(série)'!$K45,'Previdência_(série)'!$K45-K44)</f>
        <v>4393406830.7</v>
      </c>
      <c r="M45" s="5">
        <f>SUMIFS('Previdência_(série)'!$L$2:$L$166,'Previdência_(série)'!$A$2:$A$166,"&gt;"&amp;EDATE('Previdência_(série)'!$A45,-12),'Previdência_(série)'!$A$2:$A$166,"&lt;"&amp;EDATE(A45,1))</f>
        <v>55851146041.98</v>
      </c>
      <c r="N45" s="5">
        <v>1321177011.63</v>
      </c>
      <c r="O45" s="5">
        <f>IF(MONTH('Previdência_(série)'!$A45)=1,'Previdência_(série)'!$N45,'Previdência_(série)'!$N45-N44)</f>
        <v>165411433.59</v>
      </c>
      <c r="P45" s="5">
        <f>SUMIFS('Previdência_(série)'!$O$2:$O$166,'Previdência_(série)'!$A$2:$A$166,"&gt;"&amp;EDATE('Previdência_(série)'!$A45,-12),'Previdência_(série)'!$A$2:$A$166,"&lt;"&amp;EDATE(A45,1))</f>
        <v>1976091154.88</v>
      </c>
      <c r="Q45" s="5">
        <v>14431738756.88</v>
      </c>
      <c r="R45" s="5">
        <f>IF(MONTH('Previdência_(série)'!$A45)=1,'Previdência_(série)'!$Q45,'Previdência_(série)'!$Q45-Q44)</f>
        <v>1682107796.03</v>
      </c>
      <c r="S45" s="5">
        <f>SUMIFS('Previdência_(série)'!$R$2:$R$166,'Previdência_(série)'!$A$2:$A$166,"&gt;"&amp;EDATE('Previdência_(série)'!$A45,-12),'Previdência_(série)'!$A$2:$A$166,"&lt;"&amp;EDATE(A45,1))</f>
        <v>22369013558.49</v>
      </c>
      <c r="T45" s="5"/>
      <c r="U45" s="5">
        <f>IF(MONTH('Previdência_(série)'!$A45)=1,'Previdência_(série)'!$T45,'Previdência_(série)'!$T45-T44)</f>
        <v>0</v>
      </c>
      <c r="V45" s="5">
        <f>SUMIFS('Previdência_(série)'!$U$2:$U$166,'Previdência_(série)'!$A$2:$A$166,"&gt;"&amp;EDATE('Previdência_(série)'!$A45,-12),'Previdência_(série)'!$A$2:$A$166,"&lt;"&amp;EDATE(A45,1))</f>
        <v>0</v>
      </c>
      <c r="W45" s="5"/>
      <c r="X45" s="5">
        <f>IF(MONTH('Previdência_(série)'!$A45)=1,'Previdência_(série)'!$W45,'Previdência_(série)'!$W45-W44)</f>
        <v>0</v>
      </c>
      <c r="Y45" s="5">
        <f>SUMIFS('Previdência_(série)'!$X$2:$X$166,'Previdência_(série)'!$A$2:$A$166,"&gt;"&amp;EDATE('Previdência_(série)'!$A45,-12),'Previdência_(série)'!$A$2:$A$166,"&lt;"&amp;EDATE(A45,1))</f>
        <v>0</v>
      </c>
      <c r="Z45" s="199"/>
      <c r="AA45" s="1"/>
      <c r="AB45" s="1"/>
      <c r="AC45" s="1"/>
      <c r="AD45" s="4" t="s">
        <v>593</v>
      </c>
      <c r="AE45" s="17">
        <v>40756</v>
      </c>
      <c r="AF45" s="4">
        <v>2011</v>
      </c>
    </row>
    <row ht="13.8" outlineLevel="0" r="46">
      <c r="A46" s="17">
        <v>40787</v>
      </c>
      <c r="B46" s="5">
        <v>171234997875.21</v>
      </c>
      <c r="C46" s="5">
        <f>IF(MONTH('Previdência_(série)'!$A46)=1,'Previdência_(série)'!$B46,'Previdência_(série)'!$B46-B45)</f>
        <v>20846066557.28</v>
      </c>
      <c r="D46" s="5">
        <f>SUMIFS('Previdência_(série)'!$C$2:$C$166,'Previdência_(série)'!$A$2:$A$166,"&gt;"&amp;EDATE('Previdência_(série)'!$A46,-12),'Previdência_(série)'!$A$2:$A$166,"&lt;"&amp;EDATE(A46,1))</f>
        <v>235724376226.87</v>
      </c>
      <c r="E46" s="5">
        <v>208604531656.09</v>
      </c>
      <c r="F46" s="5">
        <f>IF(MONTH('Previdência_(série)'!$A46)=1,'Previdência_(série)'!$E46,'Previdência_(série)'!$E46-E45)</f>
        <v>21770358292.37</v>
      </c>
      <c r="G46" s="5">
        <f>SUMIFS('Previdência_(série)'!$F$2:$F$166,'Previdência_(série)'!$A$2:$A$166,"&gt;"&amp;EDATE('Previdência_(série)'!$A46,-12),'Previdência_(série)'!$A$2:$A$166,"&lt;"&amp;EDATE(A46,1))</f>
        <v>275964881975.62</v>
      </c>
      <c r="H46" s="5">
        <v>15549213963.12</v>
      </c>
      <c r="I46" s="5">
        <f>IF(MONTH('Previdência_(série)'!$A46)=1,'Previdência_(série)'!$H46,'Previdência_(série)'!$H46-H45)</f>
        <v>1770222119.33</v>
      </c>
      <c r="J46" s="5">
        <f>SUMIFS('Previdência_(série)'!$I$2:$I$166,'Previdência_(série)'!$A$2:$A$166,"&gt;"&amp;EDATE('Previdência_(série)'!$A46,-12),'Previdência_(série)'!$A$2:$A$166,"&lt;"&amp;EDATE(A46,1))</f>
        <v>22360403792.95</v>
      </c>
      <c r="K46" s="5">
        <v>41214403447.1</v>
      </c>
      <c r="L46" s="5">
        <f>IF(MONTH('Previdência_(série)'!$A46)=1,'Previdência_(série)'!$K46,'Previdência_(série)'!$K46-K45)</f>
        <v>4464255096.92</v>
      </c>
      <c r="M46" s="5">
        <f>SUMIFS('Previdência_(série)'!$L$2:$L$166,'Previdência_(série)'!$A$2:$A$166,"&gt;"&amp;EDATE('Previdência_(série)'!$A46,-12),'Previdência_(série)'!$A$2:$A$166,"&lt;"&amp;EDATE(A46,1))</f>
        <v>56163421071.34</v>
      </c>
      <c r="N46" s="5">
        <v>1528154642</v>
      </c>
      <c r="O46" s="5">
        <f>IF(MONTH('Previdência_(série)'!$A46)=1,'Previdência_(série)'!$N46,'Previdência_(série)'!$N46-N45)</f>
        <v>206977630.37</v>
      </c>
      <c r="P46" s="5">
        <f>SUMIFS('Previdência_(série)'!$O$2:$O$166,'Previdência_(série)'!$A$2:$A$166,"&gt;"&amp;EDATE('Previdência_(série)'!$A46,-12),'Previdência_(série)'!$A$2:$A$166,"&lt;"&amp;EDATE(A46,1))</f>
        <v>2019718261.22</v>
      </c>
      <c r="Q46" s="5">
        <v>16113256253.59</v>
      </c>
      <c r="R46" s="5">
        <f>IF(MONTH('Previdência_(série)'!$A46)=1,'Previdência_(série)'!$Q46,'Previdência_(série)'!$Q46-Q45)</f>
        <v>1681517496.71</v>
      </c>
      <c r="S46" s="5">
        <f>SUMIFS('Previdência_(série)'!$R$2:$R$166,'Previdência_(série)'!$A$2:$A$166,"&gt;"&amp;EDATE('Previdência_(série)'!$A46,-12),'Previdência_(série)'!$A$2:$A$166,"&lt;"&amp;EDATE(A46,1))</f>
        <v>22331518620.22</v>
      </c>
      <c r="T46" s="5"/>
      <c r="U46" s="5">
        <f>IF(MONTH('Previdência_(série)'!$A46)=1,'Previdência_(série)'!$T46,'Previdência_(série)'!$T46-T45)</f>
        <v>0</v>
      </c>
      <c r="V46" s="5">
        <f>SUMIFS('Previdência_(série)'!$U$2:$U$166,'Previdência_(série)'!$A$2:$A$166,"&gt;"&amp;EDATE('Previdência_(série)'!$A46,-12),'Previdência_(série)'!$A$2:$A$166,"&lt;"&amp;EDATE(A46,1))</f>
        <v>0</v>
      </c>
      <c r="W46" s="5"/>
      <c r="X46" s="5">
        <f>IF(MONTH('Previdência_(série)'!$A46)=1,'Previdência_(série)'!$W46,'Previdência_(série)'!$W46-W45)</f>
        <v>0</v>
      </c>
      <c r="Y46" s="5">
        <f>SUMIFS('Previdência_(série)'!$X$2:$X$166,'Previdência_(série)'!$A$2:$A$166,"&gt;"&amp;EDATE('Previdência_(série)'!$A46,-12),'Previdência_(série)'!$A$2:$A$166,"&lt;"&amp;EDATE(A46,1))</f>
        <v>0</v>
      </c>
      <c r="Z46" s="199"/>
      <c r="AA46" s="1"/>
      <c r="AB46" s="1"/>
      <c r="AC46" s="1"/>
      <c r="AD46" s="4" t="s">
        <v>594</v>
      </c>
      <c r="AE46" s="17">
        <v>40787</v>
      </c>
      <c r="AF46" s="4">
        <v>2011</v>
      </c>
    </row>
    <row ht="13.8" outlineLevel="0" r="47">
      <c r="A47" s="17">
        <v>40817</v>
      </c>
      <c r="B47" s="5">
        <v>191895009767.25</v>
      </c>
      <c r="C47" s="5">
        <f>IF(MONTH('Previdência_(série)'!$A47)=1,'Previdência_(série)'!$B47,'Previdência_(série)'!$B47-B46)</f>
        <v>20660011892.04</v>
      </c>
      <c r="D47" s="5">
        <f>SUMIFS('Previdência_(série)'!$C$2:$C$166,'Previdência_(série)'!$A$2:$A$166,"&gt;"&amp;EDATE('Previdência_(série)'!$A47,-12),'Previdência_(série)'!$A$2:$A$166,"&lt;"&amp;EDATE(A47,1))</f>
        <v>238771265070.61</v>
      </c>
      <c r="E47" s="5">
        <v>230523412778.32</v>
      </c>
      <c r="F47" s="5">
        <f>IF(MONTH('Previdência_(série)'!$A47)=1,'Previdência_(série)'!$E47,'Previdência_(série)'!$E47-E46)</f>
        <v>21918881122.23</v>
      </c>
      <c r="G47" s="5">
        <f>SUMIFS('Previdência_(série)'!$F$2:$F$166,'Previdência_(série)'!$A$2:$A$166,"&gt;"&amp;EDATE('Previdência_(série)'!$A47,-12),'Previdência_(série)'!$A$2:$A$166,"&lt;"&amp;EDATE(A47,1))</f>
        <v>277964177116.95</v>
      </c>
      <c r="H47" s="5">
        <v>17269944789.8</v>
      </c>
      <c r="I47" s="5">
        <f>IF(MONTH('Previdência_(série)'!$A47)=1,'Previdência_(série)'!$H47,'Previdência_(série)'!$H47-H46)</f>
        <v>1720730826.68</v>
      </c>
      <c r="J47" s="5">
        <f>SUMIFS('Previdência_(série)'!$I$2:$I$166,'Previdência_(série)'!$A$2:$A$166,"&gt;"&amp;EDATE('Previdência_(série)'!$A47,-12),'Previdência_(série)'!$A$2:$A$166,"&lt;"&amp;EDATE(A47,1))</f>
        <v>22432739799.31</v>
      </c>
      <c r="K47" s="5">
        <v>45664982135.2</v>
      </c>
      <c r="L47" s="5">
        <f>IF(MONTH('Previdência_(série)'!$A47)=1,'Previdência_(série)'!$K47,'Previdência_(série)'!$K47-K46)</f>
        <v>4450578688.1</v>
      </c>
      <c r="M47" s="5">
        <f>SUMIFS('Previdência_(série)'!$L$2:$L$166,'Previdência_(série)'!$A$2:$A$166,"&gt;"&amp;EDATE('Previdência_(série)'!$A47,-12),'Previdência_(série)'!$A$2:$A$166,"&lt;"&amp;EDATE(A47,1))</f>
        <v>56446885703.31</v>
      </c>
      <c r="N47" s="5">
        <v>1652467322.1</v>
      </c>
      <c r="O47" s="5">
        <f>IF(MONTH('Previdência_(série)'!$A47)=1,'Previdência_(série)'!$N47,'Previdência_(série)'!$N47-N46)</f>
        <v>124312680.1</v>
      </c>
      <c r="P47" s="5">
        <f>SUMIFS('Previdência_(série)'!$O$2:$O$166,'Previdência_(série)'!$A$2:$A$166,"&gt;"&amp;EDATE('Previdência_(série)'!$A47,-12),'Previdência_(série)'!$A$2:$A$166,"&lt;"&amp;EDATE(A47,1))</f>
        <v>1980745539.5</v>
      </c>
      <c r="Q47" s="5">
        <v>17792088466.96</v>
      </c>
      <c r="R47" s="5">
        <f>IF(MONTH('Previdência_(série)'!$A47)=1,'Previdência_(série)'!$Q47,'Previdência_(série)'!$Q47-Q46)</f>
        <v>1678832213.37</v>
      </c>
      <c r="S47" s="5">
        <f>SUMIFS('Previdência_(série)'!$R$2:$R$166,'Previdência_(série)'!$A$2:$A$166,"&gt;"&amp;EDATE('Previdência_(série)'!$A47,-12),'Previdência_(série)'!$A$2:$A$166,"&lt;"&amp;EDATE(A47,1))</f>
        <v>22301843085</v>
      </c>
      <c r="T47" s="5"/>
      <c r="U47" s="5">
        <f>IF(MONTH('Previdência_(série)'!$A47)=1,'Previdência_(série)'!$T47,'Previdência_(série)'!$T47-T46)</f>
        <v>0</v>
      </c>
      <c r="V47" s="5">
        <f>SUMIFS('Previdência_(série)'!$U$2:$U$166,'Previdência_(série)'!$A$2:$A$166,"&gt;"&amp;EDATE('Previdência_(série)'!$A47,-12),'Previdência_(série)'!$A$2:$A$166,"&lt;"&amp;EDATE(A47,1))</f>
        <v>0</v>
      </c>
      <c r="W47" s="5"/>
      <c r="X47" s="5">
        <f>IF(MONTH('Previdência_(série)'!$A47)=1,'Previdência_(série)'!$W47,'Previdência_(série)'!$W47-W46)</f>
        <v>0</v>
      </c>
      <c r="Y47" s="5">
        <f>SUMIFS('Previdência_(série)'!$X$2:$X$166,'Previdência_(série)'!$A$2:$A$166,"&gt;"&amp;EDATE('Previdência_(série)'!$A47,-12),'Previdência_(série)'!$A$2:$A$166,"&lt;"&amp;EDATE(A47,1))</f>
        <v>0</v>
      </c>
      <c r="Z47" s="199"/>
      <c r="AA47" s="1"/>
      <c r="AB47" s="1"/>
      <c r="AC47" s="1"/>
      <c r="AD47" s="4" t="s">
        <v>595</v>
      </c>
      <c r="AE47" s="17">
        <v>40817</v>
      </c>
      <c r="AF47" s="4">
        <v>2011</v>
      </c>
    </row>
    <row ht="13.8" outlineLevel="0" r="48">
      <c r="A48" s="17">
        <v>40848</v>
      </c>
      <c r="B48" s="5">
        <v>211111201066.11</v>
      </c>
      <c r="C48" s="5">
        <f>IF(MONTH('Previdência_(série)'!$A48)=1,'Previdência_(série)'!$B48,'Previdência_(série)'!$B48-B47)</f>
        <v>19216191298.86</v>
      </c>
      <c r="D48" s="5">
        <f>SUMIFS('Previdência_(série)'!$C$2:$C$166,'Previdência_(série)'!$A$2:$A$166,"&gt;"&amp;EDATE('Previdência_(série)'!$A48,-12),'Previdência_(série)'!$A$2:$A$166,"&lt;"&amp;EDATE(A48,1))</f>
        <v>241171596633.76</v>
      </c>
      <c r="E48" s="5">
        <v>263249485846.71</v>
      </c>
      <c r="F48" s="5">
        <f>IF(MONTH('Previdência_(série)'!$A48)=1,'Previdência_(série)'!$E48,'Previdência_(série)'!$E48-E47)</f>
        <v>32726073068.39</v>
      </c>
      <c r="G48" s="5">
        <f>SUMIFS('Previdência_(série)'!$F$2:$F$166,'Previdência_(série)'!$A$2:$A$166,"&gt;"&amp;EDATE('Previdência_(série)'!$A48,-12),'Previdência_(série)'!$A$2:$A$166,"&lt;"&amp;EDATE(A48,1))</f>
        <v>281664221240.27</v>
      </c>
      <c r="H48" s="5">
        <v>20309418165.19</v>
      </c>
      <c r="I48" s="5">
        <f>IF(MONTH('Previdência_(série)'!$A48)=1,'Previdência_(série)'!$H48,'Previdência_(série)'!$H48-H47)</f>
        <v>3039473375.39</v>
      </c>
      <c r="J48" s="5">
        <f>SUMIFS('Previdência_(série)'!$I$2:$I$166,'Previdência_(série)'!$A$2:$A$166,"&gt;"&amp;EDATE('Previdência_(série)'!$A48,-12),'Previdência_(série)'!$A$2:$A$166,"&lt;"&amp;EDATE(A48,1))</f>
        <v>22669646499.59</v>
      </c>
      <c r="K48" s="5">
        <v>51996751794.39</v>
      </c>
      <c r="L48" s="5">
        <f>IF(MONTH('Previdência_(série)'!$A48)=1,'Previdência_(série)'!$K48,'Previdência_(série)'!$K48-K47)</f>
        <v>6331769659.19</v>
      </c>
      <c r="M48" s="5">
        <f>SUMIFS('Previdência_(série)'!$L$2:$L$166,'Previdência_(série)'!$A$2:$A$166,"&gt;"&amp;EDATE('Previdência_(série)'!$A48,-12),'Previdência_(série)'!$A$2:$A$166,"&lt;"&amp;EDATE(A48,1))</f>
        <v>56733142831.44</v>
      </c>
      <c r="N48" s="5">
        <v>1818006908.57</v>
      </c>
      <c r="O48" s="5">
        <f>IF(MONTH('Previdência_(série)'!$A48)=1,'Previdência_(série)'!$N48,'Previdência_(série)'!$N48-N47)</f>
        <v>165539586.47</v>
      </c>
      <c r="P48" s="5">
        <f>SUMIFS('Previdência_(série)'!$O$2:$O$166,'Previdência_(série)'!$A$2:$A$166,"&gt;"&amp;EDATE('Previdência_(série)'!$A48,-12),'Previdência_(série)'!$A$2:$A$166,"&lt;"&amp;EDATE(A48,1))</f>
        <v>1941501117.53</v>
      </c>
      <c r="Q48" s="5">
        <v>20465224330.58</v>
      </c>
      <c r="R48" s="5">
        <f>IF(MONTH('Previdência_(série)'!$A48)=1,'Previdência_(série)'!$Q48,'Previdência_(série)'!$Q48-Q47)</f>
        <v>2673135863.62</v>
      </c>
      <c r="S48" s="5">
        <f>SUMIFS('Previdência_(série)'!$R$2:$R$166,'Previdência_(série)'!$A$2:$A$166,"&gt;"&amp;EDATE('Previdência_(série)'!$A48,-12),'Previdência_(série)'!$A$2:$A$166,"&lt;"&amp;EDATE(A48,1))</f>
        <v>22185807877.09</v>
      </c>
      <c r="T48" s="5"/>
      <c r="U48" s="5">
        <f>IF(MONTH('Previdência_(série)'!$A48)=1,'Previdência_(série)'!$T48,'Previdência_(série)'!$T48-T47)</f>
        <v>0</v>
      </c>
      <c r="V48" s="5">
        <f>SUMIFS('Previdência_(série)'!$U$2:$U$166,'Previdência_(série)'!$A$2:$A$166,"&gt;"&amp;EDATE('Previdência_(série)'!$A48,-12),'Previdência_(série)'!$A$2:$A$166,"&lt;"&amp;EDATE(A48,1))</f>
        <v>0</v>
      </c>
      <c r="W48" s="5"/>
      <c r="X48" s="5">
        <f>IF(MONTH('Previdência_(série)'!$A48)=1,'Previdência_(série)'!$W48,'Previdência_(série)'!$W48-W47)</f>
        <v>0</v>
      </c>
      <c r="Y48" s="5">
        <f>SUMIFS('Previdência_(série)'!$X$2:$X$166,'Previdência_(série)'!$A$2:$A$166,"&gt;"&amp;EDATE('Previdência_(série)'!$A48,-12),'Previdência_(série)'!$A$2:$A$166,"&lt;"&amp;EDATE(A48,1))</f>
        <v>0</v>
      </c>
      <c r="Z48" s="199"/>
      <c r="AA48" s="1"/>
      <c r="AB48" s="1"/>
      <c r="AC48" s="1"/>
      <c r="AD48" s="4" t="s">
        <v>596</v>
      </c>
      <c r="AE48" s="17">
        <v>40848</v>
      </c>
      <c r="AF48" s="4">
        <v>2011</v>
      </c>
    </row>
    <row ht="13.8" outlineLevel="0" r="49">
      <c r="A49" s="17">
        <v>40878</v>
      </c>
      <c r="B49" s="5">
        <v>245524062690.66</v>
      </c>
      <c r="C49" s="5">
        <f>IF(MONTH('Previdência_(série)'!$A49)=1,'Previdência_(série)'!$B49,'Previdência_(série)'!$B49-B48)</f>
        <v>34412861624.55</v>
      </c>
      <c r="D49" s="5">
        <f>SUMIFS('Previdência_(série)'!$C$2:$C$166,'Previdência_(série)'!$A$2:$A$166,"&gt;"&amp;EDATE('Previdência_(série)'!$A49,-12),'Previdência_(série)'!$A$2:$A$166,"&lt;"&amp;EDATE(A49,1))</f>
        <v>245524062690.66</v>
      </c>
      <c r="E49" s="5">
        <v>282468071630.38</v>
      </c>
      <c r="F49" s="5">
        <f>IF(MONTH('Previdência_(série)'!$A49)=1,'Previdência_(série)'!$E49,'Previdência_(série)'!$E49-E48)</f>
        <v>19218585783.67</v>
      </c>
      <c r="G49" s="5">
        <f>SUMIFS('Previdência_(série)'!$F$2:$F$166,'Previdência_(série)'!$A$2:$A$166,"&gt;"&amp;EDATE('Previdência_(série)'!$A49,-12),'Previdência_(série)'!$A$2:$A$166,"&lt;"&amp;EDATE(A49,1))</f>
        <v>282468071630.38</v>
      </c>
      <c r="H49" s="5">
        <v>22614453893.53</v>
      </c>
      <c r="I49" s="5">
        <f>IF(MONTH('Previdência_(série)'!$A49)=1,'Previdência_(série)'!$H49,'Previdência_(série)'!$H49-H48)</f>
        <v>2305035728.34</v>
      </c>
      <c r="J49" s="5">
        <f>SUMIFS('Previdência_(série)'!$I$2:$I$166,'Previdência_(série)'!$A$2:$A$166,"&gt;"&amp;EDATE('Previdência_(série)'!$A49,-12),'Previdência_(série)'!$A$2:$A$166,"&lt;"&amp;EDATE(A49,1))</f>
        <v>22614453893.53</v>
      </c>
      <c r="K49" s="5">
        <v>57188418490.45</v>
      </c>
      <c r="L49" s="5">
        <f>IF(MONTH('Previdência_(série)'!$A49)=1,'Previdência_(série)'!$K49,'Previdência_(série)'!$K49-K48)</f>
        <v>5191666696.06001</v>
      </c>
      <c r="M49" s="5">
        <f>SUMIFS('Previdência_(série)'!$L$2:$L$166,'Previdência_(série)'!$A$2:$A$166,"&gt;"&amp;EDATE('Previdência_(série)'!$A49,-12),'Previdência_(série)'!$A$2:$A$166,"&lt;"&amp;EDATE(A49,1))</f>
        <v>57188418490.45</v>
      </c>
      <c r="N49" s="5">
        <v>2025441006.72</v>
      </c>
      <c r="O49" s="5">
        <f>IF(MONTH('Previdência_(série)'!$A49)=1,'Previdência_(série)'!$N49,'Previdência_(série)'!$N49-N48)</f>
        <v>207434098.15</v>
      </c>
      <c r="P49" s="5">
        <f>SUMIFS('Previdência_(série)'!$O$2:$O$166,'Previdência_(série)'!$A$2:$A$166,"&gt;"&amp;EDATE('Previdência_(série)'!$A49,-12),'Previdência_(série)'!$A$2:$A$166,"&lt;"&amp;EDATE(A49,1))</f>
        <v>2025441006.72</v>
      </c>
      <c r="Q49" s="5">
        <v>21958047039.59</v>
      </c>
      <c r="R49" s="5">
        <f>IF(MONTH('Previdência_(série)'!$A49)=1,'Previdência_(série)'!$Q49,'Previdência_(série)'!$Q49-Q48)</f>
        <v>1492822709.01</v>
      </c>
      <c r="S49" s="5">
        <f>SUMIFS('Previdência_(série)'!$R$2:$R$166,'Previdência_(série)'!$A$2:$A$166,"&gt;"&amp;EDATE('Previdência_(série)'!$A49,-12),'Previdência_(série)'!$A$2:$A$166,"&lt;"&amp;EDATE(A49,1))</f>
        <v>21958047039.59</v>
      </c>
      <c r="T49" s="5"/>
      <c r="U49" s="5">
        <f>IF(MONTH('Previdência_(série)'!$A49)=1,'Previdência_(série)'!$T49,'Previdência_(série)'!$T49-T48)</f>
        <v>0</v>
      </c>
      <c r="V49" s="5">
        <f>SUMIFS('Previdência_(série)'!$U$2:$U$166,'Previdência_(série)'!$A$2:$A$166,"&gt;"&amp;EDATE('Previdência_(série)'!$A49,-12),'Previdência_(série)'!$A$2:$A$166,"&lt;"&amp;EDATE(A49,1))</f>
        <v>0</v>
      </c>
      <c r="W49" s="5"/>
      <c r="X49" s="5">
        <f>IF(MONTH('Previdência_(série)'!$A49)=1,'Previdência_(série)'!$W49,'Previdência_(série)'!$W49-W48)</f>
        <v>0</v>
      </c>
      <c r="Y49" s="5">
        <f>SUMIFS('Previdência_(série)'!$X$2:$X$166,'Previdência_(série)'!$A$2:$A$166,"&gt;"&amp;EDATE('Previdência_(série)'!$A49,-12),'Previdência_(série)'!$A$2:$A$166,"&lt;"&amp;EDATE(A49,1))</f>
        <v>0</v>
      </c>
      <c r="Z49" s="199"/>
      <c r="AA49" s="1"/>
      <c r="AB49" s="1"/>
      <c r="AC49" s="1"/>
      <c r="AD49" s="4" t="s">
        <v>597</v>
      </c>
      <c r="AE49" s="17">
        <v>40878</v>
      </c>
      <c r="AF49" s="4">
        <v>2011</v>
      </c>
    </row>
    <row ht="13.8" outlineLevel="0" r="50">
      <c r="A50" s="17">
        <v>40909</v>
      </c>
      <c r="B50" s="5">
        <v>21900612761.44</v>
      </c>
      <c r="C50" s="5">
        <f>IF(MONTH('Previdência_(série)'!$A50)=1,'Previdência_(série)'!$B50,'Previdência_(série)'!$B50-B49)</f>
        <v>21900612761.44</v>
      </c>
      <c r="D50" s="5">
        <f>SUMIFS('Previdência_(série)'!$C$2:$C$166,'Previdência_(série)'!$A$2:$A$166,"&gt;"&amp;EDATE('Previdência_(série)'!$A50,-12),'Previdência_(série)'!$A$2:$A$166,"&lt;"&amp;EDATE(A50,1))</f>
        <v>248869778966.26</v>
      </c>
      <c r="E50" s="5">
        <v>27174988074.45</v>
      </c>
      <c r="F50" s="5">
        <f>IF(MONTH('Previdência_(série)'!$A50)=1,'Previdência_(série)'!$E50,'Previdência_(série)'!$E50-E49)</f>
        <v>27174988074.45</v>
      </c>
      <c r="G50" s="5">
        <f>SUMIFS('Previdência_(série)'!$F$2:$F$166,'Previdência_(série)'!$A$2:$A$166,"&gt;"&amp;EDATE('Previdência_(série)'!$A50,-12),'Previdência_(série)'!$A$2:$A$166,"&lt;"&amp;EDATE(A50,1))</f>
        <v>286466389565.35</v>
      </c>
      <c r="H50" s="5">
        <v>1839762536.32</v>
      </c>
      <c r="I50" s="5">
        <f>IF(MONTH('Previdência_(série)'!$A50)=1,'Previdência_(série)'!$H50,'Previdência_(série)'!$H50-H49)</f>
        <v>1839762536.32</v>
      </c>
      <c r="J50" s="5">
        <f>SUMIFS('Previdência_(série)'!$I$2:$I$166,'Previdência_(série)'!$A$2:$A$166,"&gt;"&amp;EDATE('Previdência_(série)'!$A50,-12),'Previdência_(série)'!$A$2:$A$166,"&lt;"&amp;EDATE(A50,1))</f>
        <v>22727043591.8</v>
      </c>
      <c r="K50" s="5">
        <v>4623293823.14</v>
      </c>
      <c r="L50" s="5">
        <f>IF(MONTH('Previdência_(série)'!$A50)=1,'Previdência_(série)'!$K50,'Previdência_(série)'!$K50-K49)</f>
        <v>4623293823.14</v>
      </c>
      <c r="M50" s="5">
        <f>SUMIFS('Previdência_(série)'!$L$2:$L$166,'Previdência_(série)'!$A$2:$A$166,"&gt;"&amp;EDATE('Previdência_(série)'!$A50,-12),'Previdência_(série)'!$A$2:$A$166,"&lt;"&amp;EDATE(A50,1))</f>
        <v>57469341399.6</v>
      </c>
      <c r="N50" s="5">
        <v>166667381.79</v>
      </c>
      <c r="O50" s="5">
        <f>IF(MONTH('Previdência_(série)'!$A50)=1,'Previdência_(série)'!$N50,'Previdência_(série)'!$N50-N49)</f>
        <v>166667381.79</v>
      </c>
      <c r="P50" s="5">
        <f>SUMIFS('Previdência_(série)'!$O$2:$O$166,'Previdência_(série)'!$A$2:$A$166,"&gt;"&amp;EDATE('Previdência_(série)'!$A50,-12),'Previdência_(série)'!$A$2:$A$166,"&lt;"&amp;EDATE(A50,1))</f>
        <v>2027494560.37</v>
      </c>
      <c r="Q50" s="5">
        <v>1601456527.47</v>
      </c>
      <c r="R50" s="5">
        <f>IF(MONTH('Previdência_(série)'!$A50)=1,'Previdência_(série)'!$Q50,'Previdência_(série)'!$Q50-Q49)</f>
        <v>1601456527.47</v>
      </c>
      <c r="S50" s="5">
        <f>SUMIFS('Previdência_(série)'!$R$2:$R$166,'Previdência_(série)'!$A$2:$A$166,"&gt;"&amp;EDATE('Previdência_(série)'!$A50,-12),'Previdência_(série)'!$A$2:$A$166,"&lt;"&amp;EDATE(A50,1))</f>
        <v>21880307394.54</v>
      </c>
      <c r="T50" s="5"/>
      <c r="U50" s="5" t="s">
        <f>IF(MONTH('Previdência_(série)'!$A50)=1,'Previdência_(série)'!$T50,'Previdência_(série)'!$T50-T49)</f>
      </c>
      <c r="V50" s="5">
        <f>SUMIFS('Previdência_(série)'!$U$2:$U$166,'Previdência_(série)'!$A$2:$A$166,"&gt;"&amp;EDATE('Previdência_(série)'!$A50,-12),'Previdência_(série)'!$A$2:$A$166,"&lt;"&amp;EDATE(A50,1))</f>
        <v>0</v>
      </c>
      <c r="W50" s="5"/>
      <c r="X50" s="5" t="s">
        <f>IF(MONTH('Previdência_(série)'!$A50)=1,'Previdência_(série)'!$W50,'Previdência_(série)'!$W50-W49)</f>
      </c>
      <c r="Y50" s="5">
        <f>SUMIFS('Previdência_(série)'!$X$2:$X$166,'Previdência_(série)'!$A$2:$A$166,"&gt;"&amp;EDATE('Previdência_(série)'!$A50,-12),'Previdência_(série)'!$A$2:$A$166,"&lt;"&amp;EDATE(A50,1))</f>
        <v>0</v>
      </c>
      <c r="Z50" s="199"/>
      <c r="AA50" s="1"/>
      <c r="AB50" s="1"/>
      <c r="AC50" s="1"/>
      <c r="AD50" s="4" t="s">
        <v>586</v>
      </c>
      <c r="AE50" s="17">
        <v>40909</v>
      </c>
      <c r="AF50" s="4">
        <v>2012</v>
      </c>
    </row>
    <row ht="13.8" outlineLevel="0" r="51">
      <c r="A51" s="17">
        <v>40940</v>
      </c>
      <c r="B51" s="5">
        <v>40943803373.74</v>
      </c>
      <c r="C51" s="5">
        <f>IF(MONTH('Previdência_(série)'!$A51)=1,'Previdência_(série)'!$B51,'Previdência_(série)'!$B51-B50)</f>
        <v>19043190612.3</v>
      </c>
      <c r="D51" s="5">
        <f>SUMIFS('Previdência_(série)'!$C$2:$C$166,'Previdência_(série)'!$A$2:$A$166,"&gt;"&amp;EDATE('Previdência_(série)'!$A51,-12),'Previdência_(série)'!$A$2:$A$166,"&lt;"&amp;EDATE(A51,1))</f>
        <v>250866844575.41</v>
      </c>
      <c r="E51" s="5">
        <v>51203963585.69</v>
      </c>
      <c r="F51" s="5">
        <f>IF(MONTH('Previdência_(série)'!$A51)=1,'Previdência_(série)'!$E51,'Previdência_(série)'!$E51-E50)</f>
        <v>24028975511.24</v>
      </c>
      <c r="G51" s="5">
        <f>SUMIFS('Previdência_(série)'!$F$2:$F$166,'Previdência_(série)'!$A$2:$A$166,"&gt;"&amp;EDATE('Previdência_(série)'!$A51,-12),'Previdência_(série)'!$A$2:$A$166,"&lt;"&amp;EDATE(A51,1))</f>
        <v>289362900599.81</v>
      </c>
      <c r="H51" s="5">
        <v>3525639433.05</v>
      </c>
      <c r="I51" s="5">
        <f>IF(MONTH('Previdência_(série)'!$A51)=1,'Previdência_(série)'!$H51,'Previdência_(série)'!$H51-H50)</f>
        <v>1685876896.73</v>
      </c>
      <c r="J51" s="5">
        <f>SUMIFS('Previdência_(série)'!$I$2:$I$166,'Previdência_(série)'!$A$2:$A$166,"&gt;"&amp;EDATE('Previdência_(série)'!$A51,-12),'Previdência_(série)'!$A$2:$A$166,"&lt;"&amp;EDATE(A51,1))</f>
        <v>22727253446.76</v>
      </c>
      <c r="K51" s="5">
        <v>8847248690.41</v>
      </c>
      <c r="L51" s="5">
        <f>IF(MONTH('Previdência_(série)'!$A51)=1,'Previdência_(série)'!$K51,'Previdência_(série)'!$K51-K50)</f>
        <v>4223954867.27</v>
      </c>
      <c r="M51" s="5">
        <f>SUMIFS('Previdência_(série)'!$L$2:$L$166,'Previdência_(série)'!$A$2:$A$166,"&gt;"&amp;EDATE('Previdência_(série)'!$A51,-12),'Previdência_(série)'!$A$2:$A$166,"&lt;"&amp;EDATE(A51,1))</f>
        <v>57395439357.7</v>
      </c>
      <c r="N51" s="5">
        <v>333160116.47</v>
      </c>
      <c r="O51" s="5">
        <f>IF(MONTH('Previdência_(série)'!$A51)=1,'Previdência_(série)'!$N51,'Previdência_(série)'!$N51-N50)</f>
        <v>166492734.68</v>
      </c>
      <c r="P51" s="5">
        <f>SUMIFS('Previdência_(série)'!$O$2:$O$166,'Previdência_(série)'!$A$2:$A$166,"&gt;"&amp;EDATE('Previdência_(série)'!$A51,-12),'Previdência_(série)'!$A$2:$A$166,"&lt;"&amp;EDATE(A51,1))</f>
        <v>2028992293.05</v>
      </c>
      <c r="Q51" s="5">
        <v>3598612725.51</v>
      </c>
      <c r="R51" s="5">
        <f>IF(MONTH('Previdência_(série)'!$A51)=1,'Previdência_(série)'!$Q51,'Previdência_(série)'!$Q51-Q50)</f>
        <v>1997156198.04</v>
      </c>
      <c r="S51" s="5">
        <f>SUMIFS('Previdência_(série)'!$R$2:$R$166,'Previdência_(série)'!$A$2:$A$166,"&gt;"&amp;EDATE('Previdência_(série)'!$A51,-12),'Previdência_(série)'!$A$2:$A$166,"&lt;"&amp;EDATE(A51,1))</f>
        <v>22216676159.34</v>
      </c>
      <c r="T51" s="5"/>
      <c r="U51" s="5">
        <f>IF(MONTH('Previdência_(série)'!$A51)=1,'Previdência_(série)'!$T51,'Previdência_(série)'!$T51-T50)</f>
        <v>0</v>
      </c>
      <c r="V51" s="5">
        <f>SUMIFS('Previdência_(série)'!$U$2:$U$166,'Previdência_(série)'!$A$2:$A$166,"&gt;"&amp;EDATE('Previdência_(série)'!$A51,-12),'Previdência_(série)'!$A$2:$A$166,"&lt;"&amp;EDATE(A51,1))</f>
        <v>0</v>
      </c>
      <c r="W51" s="5"/>
      <c r="X51" s="5">
        <f>IF(MONTH('Previdência_(série)'!$A51)=1,'Previdência_(série)'!$W51,'Previdência_(série)'!$W51-W50)</f>
        <v>0</v>
      </c>
      <c r="Y51" s="5">
        <f>SUMIFS('Previdência_(série)'!$X$2:$X$166,'Previdência_(série)'!$A$2:$A$166,"&gt;"&amp;EDATE('Previdência_(série)'!$A51,-12),'Previdência_(série)'!$A$2:$A$166,"&lt;"&amp;EDATE(A51,1))</f>
        <v>0</v>
      </c>
      <c r="Z51" s="199"/>
      <c r="AA51" s="1"/>
      <c r="AB51" s="1"/>
      <c r="AC51" s="1"/>
      <c r="AD51" s="4" t="s">
        <v>587</v>
      </c>
      <c r="AE51" s="17">
        <v>40940</v>
      </c>
      <c r="AF51" s="4">
        <v>2012</v>
      </c>
    </row>
    <row ht="13.8" outlineLevel="0" r="52">
      <c r="A52" s="17">
        <v>40969</v>
      </c>
      <c r="B52" s="5">
        <v>63274271490.54</v>
      </c>
      <c r="C52" s="5">
        <f>IF(MONTH('Previdência_(série)'!$A52)=1,'Previdência_(série)'!$B52,'Previdência_(série)'!$B52-B51)</f>
        <v>22330468116.8</v>
      </c>
      <c r="D52" s="5">
        <f>SUMIFS('Previdência_(série)'!$C$2:$C$166,'Previdência_(série)'!$A$2:$A$166,"&gt;"&amp;EDATE('Previdência_(série)'!$A52,-12),'Previdência_(série)'!$A$2:$A$166,"&lt;"&amp;EDATE(A52,1))</f>
        <v>255253109815.97</v>
      </c>
      <c r="E52" s="5">
        <v>75456559381.16</v>
      </c>
      <c r="F52" s="5">
        <f>IF(MONTH('Previdência_(série)'!$A52)=1,'Previdência_(série)'!$E52,'Previdência_(série)'!$E52-E51)</f>
        <v>24252595795.47</v>
      </c>
      <c r="G52" s="5">
        <f>SUMIFS('Previdência_(série)'!$F$2:$F$166,'Previdência_(série)'!$A$2:$A$166,"&gt;"&amp;EDATE('Previdência_(série)'!$A52,-12),'Previdência_(série)'!$A$2:$A$166,"&lt;"&amp;EDATE(A52,1))</f>
        <v>292370351668.18</v>
      </c>
      <c r="H52" s="5">
        <v>5278885864.34</v>
      </c>
      <c r="I52" s="5">
        <f>IF(MONTH('Previdência_(série)'!$A52)=1,'Previdência_(série)'!$H52,'Previdência_(série)'!$H52-H51)</f>
        <v>1753246431.29</v>
      </c>
      <c r="J52" s="5">
        <f>SUMIFS('Previdência_(série)'!$I$2:$I$166,'Previdência_(série)'!$A$2:$A$166,"&gt;"&amp;EDATE('Previdência_(série)'!$A52,-12),'Previdência_(série)'!$A$2:$A$166,"&lt;"&amp;EDATE(A52,1))</f>
        <v>22757808096.25</v>
      </c>
      <c r="K52" s="5">
        <v>13290776646.24</v>
      </c>
      <c r="L52" s="5">
        <f>IF(MONTH('Previdência_(série)'!$A52)=1,'Previdência_(série)'!$K52,'Previdência_(série)'!$K52-K51)</f>
        <v>4443527955.83</v>
      </c>
      <c r="M52" s="5">
        <f>SUMIFS('Previdência_(série)'!$L$2:$L$166,'Previdência_(série)'!$A$2:$A$166,"&gt;"&amp;EDATE('Previdência_(série)'!$A52,-12),'Previdência_(série)'!$A$2:$A$166,"&lt;"&amp;EDATE(A52,1))</f>
        <v>57412838679.52</v>
      </c>
      <c r="N52" s="5">
        <v>499844384.19</v>
      </c>
      <c r="O52" s="5">
        <f>IF(MONTH('Previdência_(série)'!$A52)=1,'Previdência_(série)'!$N52,'Previdência_(série)'!$N52-N51)</f>
        <v>166684267.72</v>
      </c>
      <c r="P52" s="5">
        <f>SUMIFS('Previdência_(série)'!$O$2:$O$166,'Previdência_(série)'!$A$2:$A$166,"&gt;"&amp;EDATE('Previdência_(série)'!$A52,-12),'Previdência_(série)'!$A$2:$A$166,"&lt;"&amp;EDATE(A52,1))</f>
        <v>2030574630.3</v>
      </c>
      <c r="Q52" s="5">
        <v>5387830002.1</v>
      </c>
      <c r="R52" s="5">
        <f>IF(MONTH('Previdência_(série)'!$A52)=1,'Previdência_(série)'!$Q52,'Previdência_(série)'!$Q52-Q51)</f>
        <v>1789217276.59</v>
      </c>
      <c r="S52" s="5">
        <f>SUMIFS('Previdência_(série)'!$R$2:$R$166,'Previdência_(série)'!$A$2:$A$166,"&gt;"&amp;EDATE('Previdência_(série)'!$A52,-12),'Previdência_(série)'!$A$2:$A$166,"&lt;"&amp;EDATE(A52,1))</f>
        <v>22313081451.64</v>
      </c>
      <c r="T52" s="5"/>
      <c r="U52" s="5">
        <f>IF(MONTH('Previdência_(série)'!$A52)=1,'Previdência_(série)'!$T52,'Previdência_(série)'!$T52-T51)</f>
        <v>0</v>
      </c>
      <c r="V52" s="5">
        <f>SUMIFS('Previdência_(série)'!$U$2:$U$166,'Previdência_(série)'!$A$2:$A$166,"&gt;"&amp;EDATE('Previdência_(série)'!$A52,-12),'Previdência_(série)'!$A$2:$A$166,"&lt;"&amp;EDATE(A52,1))</f>
        <v>0</v>
      </c>
      <c r="W52" s="5"/>
      <c r="X52" s="5">
        <f>IF(MONTH('Previdência_(série)'!$A52)=1,'Previdência_(série)'!$W52,'Previdência_(série)'!$W52-W51)</f>
        <v>0</v>
      </c>
      <c r="Y52" s="5">
        <f>SUMIFS('Previdência_(série)'!$X$2:$X$166,'Previdência_(série)'!$A$2:$A$166,"&gt;"&amp;EDATE('Previdência_(série)'!$A52,-12),'Previdência_(série)'!$A$2:$A$166,"&lt;"&amp;EDATE(A52,1))</f>
        <v>0</v>
      </c>
      <c r="Z52" s="199"/>
      <c r="AA52" s="1"/>
      <c r="AB52" s="1"/>
      <c r="AC52" s="1"/>
      <c r="AD52" s="4" t="s">
        <v>588</v>
      </c>
      <c r="AE52" s="17">
        <v>40969</v>
      </c>
      <c r="AF52" s="4">
        <v>2012</v>
      </c>
    </row>
    <row ht="13.8" outlineLevel="0" r="53">
      <c r="A53" s="17">
        <v>41000</v>
      </c>
      <c r="B53" s="5">
        <v>85014633079.74</v>
      </c>
      <c r="C53" s="5">
        <f>IF(MONTH('Previdência_(série)'!$A53)=1,'Previdência_(série)'!$B53,'Previdência_(série)'!$B53-B52)</f>
        <v>21740361589.2</v>
      </c>
      <c r="D53" s="5">
        <f>SUMIFS('Previdência_(série)'!$C$2:$C$166,'Previdência_(série)'!$A$2:$A$166,"&gt;"&amp;EDATE('Previdência_(série)'!$A53,-12),'Previdência_(série)'!$A$2:$A$166,"&lt;"&amp;EDATE(A53,1))</f>
        <v>257498275410.05</v>
      </c>
      <c r="E53" s="5">
        <v>102502296792.04</v>
      </c>
      <c r="F53" s="5">
        <f>IF(MONTH('Previdência_(série)'!$A53)=1,'Previdência_(série)'!$E53,'Previdência_(série)'!$E53-E52)</f>
        <v>27045737410.88</v>
      </c>
      <c r="G53" s="5">
        <f>SUMIFS('Previdência_(série)'!$F$2:$F$166,'Previdência_(série)'!$A$2:$A$166,"&gt;"&amp;EDATE('Previdência_(série)'!$A53,-12),'Previdência_(série)'!$A$2:$A$166,"&lt;"&amp;EDATE(A53,1))</f>
        <v>295168689007.66</v>
      </c>
      <c r="H53" s="5">
        <v>6987832124.63</v>
      </c>
      <c r="I53" s="5">
        <f>IF(MONTH('Previdência_(série)'!$A53)=1,'Previdência_(série)'!$H53,'Previdência_(série)'!$H53-H52)</f>
        <v>1708946260.29</v>
      </c>
      <c r="J53" s="5">
        <f>SUMIFS('Previdência_(série)'!$I$2:$I$166,'Previdência_(série)'!$A$2:$A$166,"&gt;"&amp;EDATE('Previdência_(série)'!$A53,-12),'Previdência_(série)'!$A$2:$A$166,"&lt;"&amp;EDATE(A53,1))</f>
        <v>22775970291.25</v>
      </c>
      <c r="K53" s="5">
        <v>17875574209.9</v>
      </c>
      <c r="L53" s="5">
        <f>IF(MONTH('Previdência_(série)'!$A53)=1,'Previdência_(série)'!$K53,'Previdência_(série)'!$K53-K52)</f>
        <v>4584797563.66</v>
      </c>
      <c r="M53" s="5">
        <f>SUMIFS('Previdência_(série)'!$L$2:$L$166,'Previdência_(série)'!$A$2:$A$166,"&gt;"&amp;EDATE('Previdência_(série)'!$A53,-12),'Previdência_(série)'!$A$2:$A$166,"&lt;"&amp;EDATE(A53,1))</f>
        <v>57491167585.56</v>
      </c>
      <c r="N53" s="5">
        <v>666342167.22</v>
      </c>
      <c r="O53" s="5">
        <f>IF(MONTH('Previdência_(série)'!$A53)=1,'Previdência_(série)'!$N53,'Previdência_(série)'!$N53-N52)</f>
        <v>166497783.03</v>
      </c>
      <c r="P53" s="5">
        <f>SUMIFS('Previdência_(série)'!$O$2:$O$166,'Previdência_(série)'!$A$2:$A$166,"&gt;"&amp;EDATE('Previdência_(série)'!$A53,-12),'Previdência_(série)'!$A$2:$A$166,"&lt;"&amp;EDATE(A53,1))</f>
        <v>2032090932.77</v>
      </c>
      <c r="Q53" s="5">
        <v>7191503266.32</v>
      </c>
      <c r="R53" s="5">
        <f>IF(MONTH('Previdência_(série)'!$A53)=1,'Previdência_(série)'!$Q53,'Previdência_(série)'!$Q53-Q52)</f>
        <v>1803673264.22</v>
      </c>
      <c r="S53" s="5">
        <f>SUMIFS('Previdência_(série)'!$R$2:$R$166,'Previdência_(série)'!$A$2:$A$166,"&gt;"&amp;EDATE('Previdência_(série)'!$A53,-12),'Previdência_(série)'!$A$2:$A$166,"&lt;"&amp;EDATE(A53,1))</f>
        <v>22409516663.29</v>
      </c>
      <c r="T53" s="5"/>
      <c r="U53" s="5">
        <f>IF(MONTH('Previdência_(série)'!$A53)=1,'Previdência_(série)'!$T53,'Previdência_(série)'!$T53-T52)</f>
        <v>0</v>
      </c>
      <c r="V53" s="5">
        <f>SUMIFS('Previdência_(série)'!$U$2:$U$166,'Previdência_(série)'!$A$2:$A$166,"&gt;"&amp;EDATE('Previdência_(série)'!$A53,-12),'Previdência_(série)'!$A$2:$A$166,"&lt;"&amp;EDATE(A53,1))</f>
        <v>0</v>
      </c>
      <c r="W53" s="5"/>
      <c r="X53" s="5">
        <f>IF(MONTH('Previdência_(série)'!$A53)=1,'Previdência_(série)'!$W53,'Previdência_(série)'!$W53-W52)</f>
        <v>0</v>
      </c>
      <c r="Y53" s="5">
        <f>SUMIFS('Previdência_(série)'!$X$2:$X$166,'Previdência_(série)'!$A$2:$A$166,"&gt;"&amp;EDATE('Previdência_(série)'!$A53,-12),'Previdência_(série)'!$A$2:$A$166,"&lt;"&amp;EDATE(A53,1))</f>
        <v>0</v>
      </c>
      <c r="Z53" s="199"/>
      <c r="AA53" s="1"/>
      <c r="AB53" s="1"/>
      <c r="AC53" s="1"/>
      <c r="AD53" s="4" t="s">
        <v>589</v>
      </c>
      <c r="AE53" s="17">
        <v>41000</v>
      </c>
      <c r="AF53" s="4">
        <v>2012</v>
      </c>
    </row>
    <row ht="13.8" outlineLevel="0" r="54">
      <c r="A54" s="17">
        <v>41030</v>
      </c>
      <c r="B54" s="5">
        <v>106789771715.1</v>
      </c>
      <c r="C54" s="5">
        <f>IF(MONTH('Previdência_(série)'!$A54)=1,'Previdência_(série)'!$B54,'Previdência_(série)'!$B54-B53)</f>
        <v>21775138635.36</v>
      </c>
      <c r="D54" s="5">
        <f>SUMIFS('Previdência_(série)'!$C$2:$C$166,'Previdência_(série)'!$A$2:$A$166,"&gt;"&amp;EDATE('Previdência_(série)'!$A54,-12),'Previdência_(série)'!$A$2:$A$166,"&lt;"&amp;EDATE(A54,1))</f>
        <v>260399446084.23</v>
      </c>
      <c r="E54" s="5">
        <v>127176839169.75</v>
      </c>
      <c r="F54" s="5">
        <f>IF(MONTH('Previdência_(série)'!$A54)=1,'Previdência_(série)'!$E54,'Previdência_(série)'!$E54-E53)</f>
        <v>24674542377.71</v>
      </c>
      <c r="G54" s="5">
        <f>SUMIFS('Previdência_(série)'!$F$2:$F$166,'Previdência_(série)'!$A$2:$A$166,"&gt;"&amp;EDATE('Previdência_(série)'!$A54,-12),'Previdência_(série)'!$A$2:$A$166,"&lt;"&amp;EDATE(A54,1))</f>
        <v>298331727501.07</v>
      </c>
      <c r="H54" s="5">
        <v>8807388650.9</v>
      </c>
      <c r="I54" s="5">
        <f>IF(MONTH('Previdência_(série)'!$A54)=1,'Previdência_(série)'!$H54,'Previdência_(série)'!$H54-H53)</f>
        <v>1819556526.27</v>
      </c>
      <c r="J54" s="5">
        <f>SUMIFS('Previdência_(série)'!$I$2:$I$166,'Previdência_(série)'!$A$2:$A$166,"&gt;"&amp;EDATE('Previdência_(série)'!$A54,-12),'Previdência_(série)'!$A$2:$A$166,"&lt;"&amp;EDATE(A54,1))</f>
        <v>22919434321.78</v>
      </c>
      <c r="K54" s="5">
        <v>22715527869.55</v>
      </c>
      <c r="L54" s="5">
        <f>IF(MONTH('Previdência_(série)'!$A54)=1,'Previdência_(série)'!$K54,'Previdência_(série)'!$K54-K53)</f>
        <v>4839953659.65</v>
      </c>
      <c r="M54" s="5">
        <f>SUMIFS('Previdência_(série)'!$L$2:$L$166,'Previdência_(série)'!$A$2:$A$166,"&gt;"&amp;EDATE('Previdência_(série)'!$A54,-12),'Previdência_(série)'!$A$2:$A$166,"&lt;"&amp;EDATE(A54,1))</f>
        <v>57953119893.32</v>
      </c>
      <c r="N54" s="5">
        <v>833028160.74</v>
      </c>
      <c r="O54" s="5">
        <f>IF(MONTH('Previdência_(série)'!$A54)=1,'Previdência_(série)'!$N54,'Previdência_(série)'!$N54-N53)</f>
        <v>166685993.52</v>
      </c>
      <c r="P54" s="5">
        <f>SUMIFS('Previdência_(série)'!$O$2:$O$166,'Previdência_(série)'!$A$2:$A$166,"&gt;"&amp;EDATE('Previdência_(série)'!$A54,-12),'Previdência_(série)'!$A$2:$A$166,"&lt;"&amp;EDATE(A54,1))</f>
        <v>2033807590.48</v>
      </c>
      <c r="Q54" s="5">
        <v>8946338095.98</v>
      </c>
      <c r="R54" s="5">
        <f>IF(MONTH('Previdência_(série)'!$A54)=1,'Previdência_(série)'!$Q54,'Previdência_(série)'!$Q54-Q53)</f>
        <v>1754834829.66</v>
      </c>
      <c r="S54" s="5">
        <f>SUMIFS('Previdência_(série)'!$R$2:$R$166,'Previdência_(série)'!$A$2:$A$166,"&gt;"&amp;EDATE('Previdência_(série)'!$A54,-12),'Previdência_(série)'!$A$2:$A$166,"&lt;"&amp;EDATE(A54,1))</f>
        <v>22489143142.58</v>
      </c>
      <c r="T54" s="5"/>
      <c r="U54" s="5">
        <f>IF(MONTH('Previdência_(série)'!$A54)=1,'Previdência_(série)'!$T54,'Previdência_(série)'!$T54-T53)</f>
        <v>0</v>
      </c>
      <c r="V54" s="5">
        <f>SUMIFS('Previdência_(série)'!$U$2:$U$166,'Previdência_(série)'!$A$2:$A$166,"&gt;"&amp;EDATE('Previdência_(série)'!$A54,-12),'Previdência_(série)'!$A$2:$A$166,"&lt;"&amp;EDATE(A54,1))</f>
        <v>0</v>
      </c>
      <c r="W54" s="5"/>
      <c r="X54" s="5">
        <f>IF(MONTH('Previdência_(série)'!$A54)=1,'Previdência_(série)'!$W54,'Previdência_(série)'!$W54-W53)</f>
        <v>0</v>
      </c>
      <c r="Y54" s="5">
        <f>SUMIFS('Previdência_(série)'!$X$2:$X$166,'Previdência_(série)'!$A$2:$A$166,"&gt;"&amp;EDATE('Previdência_(série)'!$A54,-12),'Previdência_(série)'!$A$2:$A$166,"&lt;"&amp;EDATE(A54,1))</f>
        <v>0</v>
      </c>
      <c r="Z54" s="199"/>
      <c r="AA54" s="1"/>
      <c r="AB54" s="1"/>
      <c r="AC54" s="1"/>
      <c r="AD54" s="4" t="s">
        <v>590</v>
      </c>
      <c r="AE54" s="17">
        <v>41030</v>
      </c>
      <c r="AF54" s="4">
        <v>2012</v>
      </c>
    </row>
    <row ht="13.8" outlineLevel="0" r="55">
      <c r="A55" s="17">
        <v>41061</v>
      </c>
      <c r="B55" s="5">
        <v>128451493426.22</v>
      </c>
      <c r="C55" s="5">
        <f>IF(MONTH('Previdência_(série)'!$A55)=1,'Previdência_(série)'!$B55,'Previdência_(série)'!$B55-B54)</f>
        <v>21661721711.12</v>
      </c>
      <c r="D55" s="5">
        <f>SUMIFS('Previdência_(série)'!$C$2:$C$166,'Previdência_(série)'!$A$2:$A$166,"&gt;"&amp;EDATE('Previdência_(série)'!$A55,-12),'Previdência_(série)'!$A$2:$A$166,"&lt;"&amp;EDATE(A55,1))</f>
        <v>262715473529.05</v>
      </c>
      <c r="E55" s="5">
        <v>151445738284.96</v>
      </c>
      <c r="F55" s="5">
        <f>IF(MONTH('Previdência_(série)'!$A55)=1,'Previdência_(série)'!$E55,'Previdência_(série)'!$E55-E54)</f>
        <v>24268899115.21</v>
      </c>
      <c r="G55" s="5">
        <f>SUMIFS('Previdência_(série)'!$F$2:$F$166,'Previdência_(série)'!$A$2:$A$166,"&gt;"&amp;EDATE('Previdência_(série)'!$A55,-12),'Previdência_(série)'!$A$2:$A$166,"&lt;"&amp;EDATE(A55,1))</f>
        <v>301026456184.9</v>
      </c>
      <c r="H55" s="5">
        <v>10609596335.93</v>
      </c>
      <c r="I55" s="5">
        <f>IF(MONTH('Previdência_(série)'!$A55)=1,'Previdência_(série)'!$H55,'Previdência_(série)'!$H55-H54)</f>
        <v>1802207685.03</v>
      </c>
      <c r="J55" s="5">
        <f>SUMIFS('Previdência_(série)'!$I$2:$I$166,'Previdência_(série)'!$A$2:$A$166,"&gt;"&amp;EDATE('Previdência_(série)'!$A55,-12),'Previdência_(série)'!$A$2:$A$166,"&lt;"&amp;EDATE(A55,1))</f>
        <v>22950298711.92</v>
      </c>
      <c r="K55" s="5">
        <v>29170940373.64</v>
      </c>
      <c r="L55" s="5">
        <f>IF(MONTH('Previdência_(série)'!$A55)=1,'Previdência_(série)'!$K55,'Previdência_(série)'!$K55-K54)</f>
        <v>6455412504.09</v>
      </c>
      <c r="M55" s="5">
        <f>SUMIFS('Previdência_(série)'!$L$2:$L$166,'Previdência_(série)'!$A$2:$A$166,"&gt;"&amp;EDATE('Previdência_(série)'!$A55,-12),'Previdência_(série)'!$A$2:$A$166,"&lt;"&amp;EDATE(A55,1))</f>
        <v>58517137292.83</v>
      </c>
      <c r="N55" s="5">
        <v>999947199.48</v>
      </c>
      <c r="O55" s="5">
        <f>IF(MONTH('Previdência_(série)'!$A55)=1,'Previdência_(série)'!$N55,'Previdência_(série)'!$N55-N54)</f>
        <v>166919038.74</v>
      </c>
      <c r="P55" s="5">
        <f>SUMIFS('Previdência_(série)'!$O$2:$O$166,'Previdência_(série)'!$A$2:$A$166,"&gt;"&amp;EDATE('Previdência_(série)'!$A55,-12),'Previdência_(série)'!$A$2:$A$166,"&lt;"&amp;EDATE(A55,1))</f>
        <v>2035014796.05</v>
      </c>
      <c r="Q55" s="5">
        <v>11697107106.4</v>
      </c>
      <c r="R55" s="5">
        <f>IF(MONTH('Previdência_(série)'!$A55)=1,'Previdência_(série)'!$Q55,'Previdência_(série)'!$Q55-Q54)</f>
        <v>2750769010.42</v>
      </c>
      <c r="S55" s="5">
        <f>SUMIFS('Previdência_(série)'!$R$2:$R$166,'Previdência_(série)'!$A$2:$A$166,"&gt;"&amp;EDATE('Previdência_(série)'!$A55,-12),'Previdência_(série)'!$A$2:$A$166,"&lt;"&amp;EDATE(A55,1))</f>
        <v>22579344109.79</v>
      </c>
      <c r="T55" s="5"/>
      <c r="U55" s="5">
        <f>IF(MONTH('Previdência_(série)'!$A55)=1,'Previdência_(série)'!$T55,'Previdência_(série)'!$T55-T54)</f>
        <v>0</v>
      </c>
      <c r="V55" s="5">
        <f>SUMIFS('Previdência_(série)'!$U$2:$U$166,'Previdência_(série)'!$A$2:$A$166,"&gt;"&amp;EDATE('Previdência_(série)'!$A55,-12),'Previdência_(série)'!$A$2:$A$166,"&lt;"&amp;EDATE(A55,1))</f>
        <v>0</v>
      </c>
      <c r="W55" s="5"/>
      <c r="X55" s="5">
        <f>IF(MONTH('Previdência_(série)'!$A55)=1,'Previdência_(série)'!$W55,'Previdência_(série)'!$W55-W54)</f>
        <v>0</v>
      </c>
      <c r="Y55" s="5">
        <f>SUMIFS('Previdência_(série)'!$X$2:$X$166,'Previdência_(série)'!$A$2:$A$166,"&gt;"&amp;EDATE('Previdência_(série)'!$A55,-12),'Previdência_(série)'!$A$2:$A$166,"&lt;"&amp;EDATE(A55,1))</f>
        <v>0</v>
      </c>
      <c r="Z55" s="199"/>
      <c r="AA55" s="1"/>
      <c r="AB55" s="1"/>
      <c r="AC55" s="1"/>
      <c r="AD55" s="4" t="s">
        <v>591</v>
      </c>
      <c r="AE55" s="17">
        <v>41061</v>
      </c>
      <c r="AF55" s="4">
        <v>2012</v>
      </c>
    </row>
    <row ht="13.8" outlineLevel="0" r="56">
      <c r="A56" s="17">
        <v>41091</v>
      </c>
      <c r="B56" s="5">
        <v>150689303953.28</v>
      </c>
      <c r="C56" s="5">
        <f>IF(MONTH('Previdência_(série)'!$A56)=1,'Previdência_(série)'!$B56,'Previdência_(série)'!$B56-B55)</f>
        <v>22237810527.06</v>
      </c>
      <c r="D56" s="5">
        <f>SUMIFS('Previdência_(série)'!$C$2:$C$166,'Previdência_(série)'!$A$2:$A$166,"&gt;"&amp;EDATE('Previdência_(série)'!$A56,-12),'Previdência_(série)'!$A$2:$A$166,"&lt;"&amp;EDATE(A56,1))</f>
        <v>266278038555.72</v>
      </c>
      <c r="E56" s="5">
        <v>176376257282.5</v>
      </c>
      <c r="F56" s="5">
        <f>IF(MONTH('Previdência_(série)'!$A56)=1,'Previdência_(série)'!$E56,'Previdência_(série)'!$E56-E55)</f>
        <v>24930518997.54</v>
      </c>
      <c r="G56" s="5">
        <f>SUMIFS('Previdência_(série)'!$F$2:$F$166,'Previdência_(série)'!$A$2:$A$166,"&gt;"&amp;EDATE('Previdência_(série)'!$A56,-12),'Previdência_(série)'!$A$2:$A$166,"&lt;"&amp;EDATE(A56,1))</f>
        <v>304033587870.52</v>
      </c>
      <c r="H56" s="5">
        <v>12359087468.02</v>
      </c>
      <c r="I56" s="5">
        <f>IF(MONTH('Previdência_(série)'!$A56)=1,'Previdência_(série)'!$H56,'Previdência_(série)'!$H56-H55)</f>
        <v>1749491132.09</v>
      </c>
      <c r="J56" s="5">
        <f>SUMIFS('Previdência_(série)'!$I$2:$I$166,'Previdência_(série)'!$A$2:$A$166,"&gt;"&amp;EDATE('Previdência_(série)'!$A56,-12),'Previdência_(série)'!$A$2:$A$166,"&lt;"&amp;EDATE(A56,1))</f>
        <v>22927934195.95</v>
      </c>
      <c r="K56" s="5">
        <v>33776498776.22</v>
      </c>
      <c r="L56" s="5">
        <f>IF(MONTH('Previdência_(série)'!$A56)=1,'Previdência_(série)'!$K56,'Previdência_(série)'!$K56-K55)</f>
        <v>4605558402.58</v>
      </c>
      <c r="M56" s="5">
        <f>SUMIFS('Previdência_(série)'!$L$2:$L$166,'Previdência_(série)'!$A$2:$A$166,"&gt;"&amp;EDATE('Previdência_(série)'!$A56,-12),'Previdência_(série)'!$A$2:$A$166,"&lt;"&amp;EDATE(A56,1))</f>
        <v>58608175747.19</v>
      </c>
      <c r="N56" s="5">
        <v>1167044899.24</v>
      </c>
      <c r="O56" s="5">
        <f>IF(MONTH('Previdência_(série)'!$A56)=1,'Previdência_(série)'!$N56,'Previdência_(série)'!$N56-N55)</f>
        <v>167097699.76</v>
      </c>
      <c r="P56" s="5">
        <f>SUMIFS('Previdência_(série)'!$O$2:$O$166,'Previdência_(série)'!$A$2:$A$166,"&gt;"&amp;EDATE('Previdência_(série)'!$A56,-12),'Previdência_(série)'!$A$2:$A$166,"&lt;"&amp;EDATE(A56,1))</f>
        <v>2036720327.92</v>
      </c>
      <c r="Q56" s="5">
        <v>13468269345.89</v>
      </c>
      <c r="R56" s="5">
        <f>IF(MONTH('Previdência_(série)'!$A56)=1,'Previdência_(série)'!$Q56,'Previdência_(série)'!$Q56-Q55)</f>
        <v>1771162239.49</v>
      </c>
      <c r="S56" s="5">
        <f>SUMIFS('Previdência_(série)'!$R$2:$R$166,'Previdência_(série)'!$A$2:$A$166,"&gt;"&amp;EDATE('Previdência_(série)'!$A56,-12),'Previdência_(série)'!$A$2:$A$166,"&lt;"&amp;EDATE(A56,1))</f>
        <v>22676685424.63</v>
      </c>
      <c r="T56" s="5"/>
      <c r="U56" s="5">
        <f>IF(MONTH('Previdência_(série)'!$A56)=1,'Previdência_(série)'!$T56,'Previdência_(série)'!$T56-T55)</f>
        <v>0</v>
      </c>
      <c r="V56" s="5">
        <f>SUMIFS('Previdência_(série)'!$U$2:$U$166,'Previdência_(série)'!$A$2:$A$166,"&gt;"&amp;EDATE('Previdência_(série)'!$A56,-12),'Previdência_(série)'!$A$2:$A$166,"&lt;"&amp;EDATE(A56,1))</f>
        <v>0</v>
      </c>
      <c r="W56" s="5"/>
      <c r="X56" s="5">
        <f>IF(MONTH('Previdência_(série)'!$A56)=1,'Previdência_(série)'!$W56,'Previdência_(série)'!$W56-W55)</f>
        <v>0</v>
      </c>
      <c r="Y56" s="5">
        <f>SUMIFS('Previdência_(série)'!$X$2:$X$166,'Previdência_(série)'!$A$2:$A$166,"&gt;"&amp;EDATE('Previdência_(série)'!$A56,-12),'Previdência_(série)'!$A$2:$A$166,"&lt;"&amp;EDATE(A56,1))</f>
        <v>0</v>
      </c>
      <c r="Z56" s="199"/>
      <c r="AA56" s="1"/>
      <c r="AB56" s="1"/>
      <c r="AC56" s="1"/>
      <c r="AD56" s="4" t="s">
        <v>592</v>
      </c>
      <c r="AE56" s="17">
        <v>41091</v>
      </c>
      <c r="AF56" s="4">
        <v>2012</v>
      </c>
    </row>
    <row ht="13.8" outlineLevel="0" r="57">
      <c r="A57" s="17">
        <v>41122</v>
      </c>
      <c r="B57" s="5">
        <v>173203581780.25</v>
      </c>
      <c r="C57" s="5">
        <f>IF(MONTH('Previdência_(série)'!$A57)=1,'Previdência_(série)'!$B57,'Previdência_(série)'!$B57-B56)</f>
        <v>22514277826.97</v>
      </c>
      <c r="D57" s="5">
        <f>SUMIFS('Previdência_(série)'!$C$2:$C$166,'Previdência_(série)'!$A$2:$A$166,"&gt;"&amp;EDATE('Previdência_(série)'!$A57,-12),'Previdência_(série)'!$A$2:$A$166,"&lt;"&amp;EDATE(A57,1))</f>
        <v>268338713152.98</v>
      </c>
      <c r="E57" s="5">
        <v>212156750495.14</v>
      </c>
      <c r="F57" s="5">
        <f>IF(MONTH('Previdência_(série)'!$A57)=1,'Previdência_(série)'!$E57,'Previdência_(série)'!$E57-E56)</f>
        <v>35780493212.64</v>
      </c>
      <c r="G57" s="5">
        <f>SUMIFS('Previdência_(série)'!$F$2:$F$166,'Previdência_(série)'!$A$2:$A$166,"&gt;"&amp;EDATE('Previdência_(série)'!$A57,-12),'Previdência_(série)'!$A$2:$A$166,"&lt;"&amp;EDATE(A57,1))</f>
        <v>307790648761.8</v>
      </c>
      <c r="H57" s="5">
        <v>14089737767.13</v>
      </c>
      <c r="I57" s="5">
        <f>IF(MONTH('Previdência_(série)'!$A57)=1,'Previdência_(série)'!$H57,'Previdência_(série)'!$H57-H56)</f>
        <v>1730650299.11</v>
      </c>
      <c r="J57" s="5">
        <f>SUMIFS('Previdência_(série)'!$I$2:$I$166,'Previdência_(série)'!$A$2:$A$166,"&gt;"&amp;EDATE('Previdência_(série)'!$A57,-12),'Previdência_(série)'!$A$2:$A$166,"&lt;"&amp;EDATE(A57,1))</f>
        <v>22925199816.87</v>
      </c>
      <c r="K57" s="5">
        <v>38389952713.82</v>
      </c>
      <c r="L57" s="5">
        <f>IF(MONTH('Previdência_(série)'!$A57)=1,'Previdência_(série)'!$K57,'Previdência_(série)'!$K57-K56)</f>
        <v>4613453937.6</v>
      </c>
      <c r="M57" s="5">
        <f>SUMIFS('Previdência_(série)'!$L$2:$L$166,'Previdência_(série)'!$A$2:$A$166,"&gt;"&amp;EDATE('Previdência_(série)'!$A57,-12),'Previdência_(série)'!$A$2:$A$166,"&lt;"&amp;EDATE(A57,1))</f>
        <v>58828222854.09</v>
      </c>
      <c r="N57" s="5">
        <v>1333856230.29</v>
      </c>
      <c r="O57" s="5">
        <f>IF(MONTH('Previdência_(série)'!$A57)=1,'Previdência_(série)'!$N57,'Previdência_(série)'!$N57-N56)</f>
        <v>166811331.05</v>
      </c>
      <c r="P57" s="5">
        <f>SUMIFS('Previdência_(série)'!$O$2:$O$166,'Previdência_(série)'!$A$2:$A$166,"&gt;"&amp;EDATE('Previdência_(série)'!$A57,-12),'Previdência_(série)'!$A$2:$A$166,"&lt;"&amp;EDATE(A57,1))</f>
        <v>2038120225.38</v>
      </c>
      <c r="Q57" s="5">
        <v>15237030747.01</v>
      </c>
      <c r="R57" s="5">
        <f>IF(MONTH('Previdência_(série)'!$A57)=1,'Previdência_(série)'!$Q57,'Previdência_(série)'!$Q57-Q56)</f>
        <v>1768761401.12</v>
      </c>
      <c r="S57" s="5">
        <f>SUMIFS('Previdência_(série)'!$R$2:$R$166,'Previdência_(série)'!$A$2:$A$166,"&gt;"&amp;EDATE('Previdência_(série)'!$A57,-12),'Previdência_(série)'!$A$2:$A$166,"&lt;"&amp;EDATE(A57,1))</f>
        <v>22763339029.72</v>
      </c>
      <c r="T57" s="5"/>
      <c r="U57" s="5">
        <f>IF(MONTH('Previdência_(série)'!$A57)=1,'Previdência_(série)'!$T57,'Previdência_(série)'!$T57-T56)</f>
        <v>0</v>
      </c>
      <c r="V57" s="5">
        <f>SUMIFS('Previdência_(série)'!$U$2:$U$166,'Previdência_(série)'!$A$2:$A$166,"&gt;"&amp;EDATE('Previdência_(série)'!$A57,-12),'Previdência_(série)'!$A$2:$A$166,"&lt;"&amp;EDATE(A57,1))</f>
        <v>0</v>
      </c>
      <c r="W57" s="5"/>
      <c r="X57" s="5">
        <f>IF(MONTH('Previdência_(série)'!$A57)=1,'Previdência_(série)'!$W57,'Previdência_(série)'!$W57-W56)</f>
        <v>0</v>
      </c>
      <c r="Y57" s="5">
        <f>SUMIFS('Previdência_(série)'!$X$2:$X$166,'Previdência_(série)'!$A$2:$A$166,"&gt;"&amp;EDATE('Previdência_(série)'!$A57,-12),'Previdência_(série)'!$A$2:$A$166,"&lt;"&amp;EDATE(A57,1))</f>
        <v>0</v>
      </c>
      <c r="Z57" s="199"/>
      <c r="AA57" s="1"/>
      <c r="AB57" s="1"/>
      <c r="AC57" s="1"/>
      <c r="AD57" s="4" t="s">
        <v>593</v>
      </c>
      <c r="AE57" s="17">
        <v>41122</v>
      </c>
      <c r="AF57" s="4">
        <v>2012</v>
      </c>
    </row>
    <row ht="13.8" outlineLevel="0" r="58">
      <c r="A58" s="17">
        <v>41153</v>
      </c>
      <c r="B58" s="5">
        <v>194869485448.43</v>
      </c>
      <c r="C58" s="5">
        <f>IF(MONTH('Previdência_(série)'!$A58)=1,'Previdência_(série)'!$B58,'Previdência_(série)'!$B58-B57)</f>
        <v>21665903668.18</v>
      </c>
      <c r="D58" s="5">
        <f>SUMIFS('Previdência_(série)'!$C$2:$C$166,'Previdência_(série)'!$A$2:$A$166,"&gt;"&amp;EDATE('Previdência_(série)'!$A58,-12),'Previdência_(série)'!$A$2:$A$166,"&lt;"&amp;EDATE(A58,1))</f>
        <v>269158550263.88</v>
      </c>
      <c r="E58" s="5">
        <v>236758990766.61</v>
      </c>
      <c r="F58" s="5">
        <f>IF(MONTH('Previdência_(série)'!$A58)=1,'Previdência_(série)'!$E58,'Previdência_(série)'!$E58-E57)</f>
        <v>24602240271.47</v>
      </c>
      <c r="G58" s="5">
        <f>SUMIFS('Previdência_(série)'!$F$2:$F$166,'Previdência_(série)'!$A$2:$A$166,"&gt;"&amp;EDATE('Previdência_(série)'!$A58,-12),'Previdência_(série)'!$A$2:$A$166,"&lt;"&amp;EDATE(A58,1))</f>
        <v>310622530740.9</v>
      </c>
      <c r="H58" s="5">
        <v>15834955023.14</v>
      </c>
      <c r="I58" s="5">
        <f>IF(MONTH('Previdência_(série)'!$A58)=1,'Previdência_(série)'!$H58,'Previdência_(série)'!$H58-H57)</f>
        <v>1745217256.01</v>
      </c>
      <c r="J58" s="5">
        <f>SUMIFS('Previdência_(série)'!$I$2:$I$166,'Previdência_(série)'!$A$2:$A$166,"&gt;"&amp;EDATE('Previdência_(série)'!$A58,-12),'Previdência_(série)'!$A$2:$A$166,"&lt;"&amp;EDATE(A58,1))</f>
        <v>22900194953.55</v>
      </c>
      <c r="K58" s="5">
        <v>43001329430.94</v>
      </c>
      <c r="L58" s="5">
        <f>IF(MONTH('Previdência_(série)'!$A58)=1,'Previdência_(série)'!$K58,'Previdência_(série)'!$K58-K57)</f>
        <v>4611376717.12</v>
      </c>
      <c r="M58" s="5">
        <f>SUMIFS('Previdência_(série)'!$L$2:$L$166,'Previdência_(série)'!$A$2:$A$166,"&gt;"&amp;EDATE('Previdência_(série)'!$A58,-12),'Previdência_(série)'!$A$2:$A$166,"&lt;"&amp;EDATE(A58,1))</f>
        <v>58975344474.29</v>
      </c>
      <c r="N58" s="5">
        <v>1500644441.14</v>
      </c>
      <c r="O58" s="5">
        <f>IF(MONTH('Previdência_(série)'!$A58)=1,'Previdência_(série)'!$N58,'Previdência_(série)'!$N58-N57)</f>
        <v>166788210.85</v>
      </c>
      <c r="P58" s="5">
        <f>SUMIFS('Previdência_(série)'!$O$2:$O$166,'Previdência_(série)'!$A$2:$A$166,"&gt;"&amp;EDATE('Previdência_(série)'!$A58,-12),'Previdência_(série)'!$A$2:$A$166,"&lt;"&amp;EDATE(A58,1))</f>
        <v>1997930805.86</v>
      </c>
      <c r="Q58" s="5">
        <v>17004869995.68</v>
      </c>
      <c r="R58" s="5">
        <f>IF(MONTH('Previdência_(série)'!$A58)=1,'Previdência_(série)'!$Q58,'Previdência_(série)'!$Q58-Q57)</f>
        <v>1767839248.67</v>
      </c>
      <c r="S58" s="5">
        <f>SUMIFS('Previdência_(série)'!$R$2:$R$166,'Previdência_(série)'!$A$2:$A$166,"&gt;"&amp;EDATE('Previdência_(série)'!$A58,-12),'Previdência_(série)'!$A$2:$A$166,"&lt;"&amp;EDATE(A58,1))</f>
        <v>22849660781.68</v>
      </c>
      <c r="T58" s="5"/>
      <c r="U58" s="5">
        <f>IF(MONTH('Previdência_(série)'!$A58)=1,'Previdência_(série)'!$T58,'Previdência_(série)'!$T58-T57)</f>
        <v>0</v>
      </c>
      <c r="V58" s="5">
        <f>SUMIFS('Previdência_(série)'!$U$2:$U$166,'Previdência_(série)'!$A$2:$A$166,"&gt;"&amp;EDATE('Previdência_(série)'!$A58,-12),'Previdência_(série)'!$A$2:$A$166,"&lt;"&amp;EDATE(A58,1))</f>
        <v>0</v>
      </c>
      <c r="W58" s="5"/>
      <c r="X58" s="5">
        <f>IF(MONTH('Previdência_(série)'!$A58)=1,'Previdência_(série)'!$W58,'Previdência_(série)'!$W58-W57)</f>
        <v>0</v>
      </c>
      <c r="Y58" s="5">
        <f>SUMIFS('Previdência_(série)'!$X$2:$X$166,'Previdência_(série)'!$A$2:$A$166,"&gt;"&amp;EDATE('Previdência_(série)'!$A58,-12),'Previdência_(série)'!$A$2:$A$166,"&lt;"&amp;EDATE(A58,1))</f>
        <v>0</v>
      </c>
      <c r="Z58" s="199"/>
      <c r="AA58" s="1"/>
      <c r="AB58" s="1"/>
      <c r="AC58" s="1"/>
      <c r="AD58" s="4" t="s">
        <v>594</v>
      </c>
      <c r="AE58" s="17">
        <v>41153</v>
      </c>
      <c r="AF58" s="4">
        <v>2012</v>
      </c>
    </row>
    <row ht="13.8" outlineLevel="0" r="59">
      <c r="A59" s="17">
        <v>41183</v>
      </c>
      <c r="B59" s="5">
        <v>217204801655.4</v>
      </c>
      <c r="C59" s="5">
        <f>IF(MONTH('Previdência_(série)'!$A59)=1,'Previdência_(série)'!$B59,'Previdência_(série)'!$B59-B58)</f>
        <v>22335316206.97</v>
      </c>
      <c r="D59" s="5">
        <f>SUMIFS('Previdência_(série)'!$C$2:$C$166,'Previdência_(série)'!$A$2:$A$166,"&gt;"&amp;EDATE('Previdência_(série)'!$A59,-12),'Previdência_(série)'!$A$2:$A$166,"&lt;"&amp;EDATE(A59,1))</f>
        <v>270833854578.81</v>
      </c>
      <c r="E59" s="5">
        <v>262056656328.17</v>
      </c>
      <c r="F59" s="5">
        <f>IF(MONTH('Previdência_(série)'!$A59)=1,'Previdência_(série)'!$E59,'Previdência_(série)'!$E59-E58)</f>
        <v>25297665561.56</v>
      </c>
      <c r="G59" s="5">
        <f>SUMIFS('Previdência_(série)'!$F$2:$F$166,'Previdência_(série)'!$A$2:$A$166,"&gt;"&amp;EDATE('Previdência_(série)'!$A59,-12),'Previdência_(série)'!$A$2:$A$166,"&lt;"&amp;EDATE(A59,1))</f>
        <v>314001315180.23</v>
      </c>
      <c r="H59" s="5">
        <v>17627543256.3</v>
      </c>
      <c r="I59" s="5">
        <f>IF(MONTH('Previdência_(série)'!$A59)=1,'Previdência_(série)'!$H59,'Previdência_(série)'!$H59-H58)</f>
        <v>1792588233.16</v>
      </c>
      <c r="J59" s="5">
        <f>SUMIFS('Previdência_(série)'!$I$2:$I$166,'Previdência_(série)'!$A$2:$A$166,"&gt;"&amp;EDATE('Previdência_(série)'!$A59,-12),'Previdência_(série)'!$A$2:$A$166,"&lt;"&amp;EDATE(A59,1))</f>
        <v>22972052360.03</v>
      </c>
      <c r="K59" s="5">
        <v>47587915471.77</v>
      </c>
      <c r="L59" s="5">
        <f>IF(MONTH('Previdência_(série)'!$A59)=1,'Previdência_(série)'!$K59,'Previdência_(série)'!$K59-K58)</f>
        <v>4586586040.82999</v>
      </c>
      <c r="M59" s="5">
        <f>SUMIFS('Previdência_(série)'!$L$2:$L$166,'Previdência_(série)'!$A$2:$A$166,"&gt;"&amp;EDATE('Previdência_(série)'!$A59,-12),'Previdência_(série)'!$A$2:$A$166,"&lt;"&amp;EDATE(A59,1))</f>
        <v>59111351827.02</v>
      </c>
      <c r="N59" s="5">
        <v>1667335871.62</v>
      </c>
      <c r="O59" s="5">
        <f>IF(MONTH('Previdência_(série)'!$A59)=1,'Previdência_(série)'!$N59,'Previdência_(série)'!$N59-N58)</f>
        <v>166691430.48</v>
      </c>
      <c r="P59" s="5">
        <f>SUMIFS('Previdência_(série)'!$O$2:$O$166,'Previdência_(série)'!$A$2:$A$166,"&gt;"&amp;EDATE('Previdência_(série)'!$A59,-12),'Previdência_(série)'!$A$2:$A$166,"&lt;"&amp;EDATE(A59,1))</f>
        <v>2040309556.24</v>
      </c>
      <c r="Q59" s="5">
        <v>18767177828.25</v>
      </c>
      <c r="R59" s="5">
        <f>IF(MONTH('Previdência_(série)'!$A59)=1,'Previdência_(série)'!$Q59,'Previdência_(série)'!$Q59-Q58)</f>
        <v>1762307832.57</v>
      </c>
      <c r="S59" s="5">
        <f>SUMIFS('Previdência_(série)'!$R$2:$R$166,'Previdência_(série)'!$A$2:$A$166,"&gt;"&amp;EDATE('Previdência_(série)'!$A59,-12),'Previdência_(série)'!$A$2:$A$166,"&lt;"&amp;EDATE(A59,1))</f>
        <v>22933136400.88</v>
      </c>
      <c r="T59" s="5"/>
      <c r="U59" s="5">
        <f>IF(MONTH('Previdência_(série)'!$A59)=1,'Previdência_(série)'!$T59,'Previdência_(série)'!$T59-T58)</f>
        <v>0</v>
      </c>
      <c r="V59" s="5">
        <f>SUMIFS('Previdência_(série)'!$U$2:$U$166,'Previdência_(série)'!$A$2:$A$166,"&gt;"&amp;EDATE('Previdência_(série)'!$A59,-12),'Previdência_(série)'!$A$2:$A$166,"&lt;"&amp;EDATE(A59,1))</f>
        <v>0</v>
      </c>
      <c r="W59" s="5"/>
      <c r="X59" s="5">
        <f>IF(MONTH('Previdência_(série)'!$A59)=1,'Previdência_(série)'!$W59,'Previdência_(série)'!$W59-W58)</f>
        <v>0</v>
      </c>
      <c r="Y59" s="5">
        <f>SUMIFS('Previdência_(série)'!$X$2:$X$166,'Previdência_(série)'!$A$2:$A$166,"&gt;"&amp;EDATE('Previdência_(série)'!$A59,-12),'Previdência_(série)'!$A$2:$A$166,"&lt;"&amp;EDATE(A59,1))</f>
        <v>0</v>
      </c>
      <c r="Z59" s="199"/>
      <c r="AA59" s="1"/>
      <c r="AB59" s="1"/>
      <c r="AC59" s="1"/>
      <c r="AD59" s="4" t="s">
        <v>595</v>
      </c>
      <c r="AE59" s="17">
        <v>41183</v>
      </c>
      <c r="AF59" s="4">
        <v>2012</v>
      </c>
    </row>
    <row ht="13.8" outlineLevel="0" r="60">
      <c r="A60" s="17">
        <v>41214</v>
      </c>
      <c r="B60" s="5">
        <v>239674525296.58</v>
      </c>
      <c r="C60" s="5">
        <f>IF(MONTH('Previdência_(série)'!$A60)=1,'Previdência_(série)'!$B60,'Previdência_(série)'!$B60-B59)</f>
        <v>22469723641.18</v>
      </c>
      <c r="D60" s="5">
        <f>SUMIFS('Previdência_(série)'!$C$2:$C$166,'Previdência_(série)'!$A$2:$A$166,"&gt;"&amp;EDATE('Previdência_(série)'!$A60,-12),'Previdência_(série)'!$A$2:$A$166,"&lt;"&amp;EDATE(A60,1))</f>
        <v>274087386921.13</v>
      </c>
      <c r="E60" s="5">
        <v>298618848796.7</v>
      </c>
      <c r="F60" s="5">
        <f>IF(MONTH('Previdência_(série)'!$A60)=1,'Previdência_(série)'!$E60,'Previdência_(série)'!$E60-E59)</f>
        <v>36562192468.53</v>
      </c>
      <c r="G60" s="5">
        <f>SUMIFS('Previdência_(série)'!$F$2:$F$166,'Previdência_(série)'!$A$2:$A$166,"&gt;"&amp;EDATE('Previdência_(série)'!$A60,-12),'Previdência_(série)'!$A$2:$A$166,"&lt;"&amp;EDATE(A60,1))</f>
        <v>317837434580.37</v>
      </c>
      <c r="H60" s="5">
        <v>20936604962.54</v>
      </c>
      <c r="I60" s="5">
        <f>IF(MONTH('Previdência_(série)'!$A60)=1,'Previdência_(série)'!$H60,'Previdência_(série)'!$H60-H59)</f>
        <v>3309061706.24</v>
      </c>
      <c r="J60" s="5">
        <f>SUMIFS('Previdência_(série)'!$I$2:$I$166,'Previdência_(série)'!$A$2:$A$166,"&gt;"&amp;EDATE('Previdência_(série)'!$A60,-12),'Previdência_(série)'!$A$2:$A$166,"&lt;"&amp;EDATE(A60,1))</f>
        <v>23241640690.88</v>
      </c>
      <c r="K60" s="5">
        <v>54215238036.59</v>
      </c>
      <c r="L60" s="5">
        <f>IF(MONTH('Previdência_(série)'!$A60)=1,'Previdência_(série)'!$K60,'Previdência_(série)'!$K60-K59)</f>
        <v>6627322564.82</v>
      </c>
      <c r="M60" s="5">
        <f>SUMIFS('Previdência_(série)'!$L$2:$L$166,'Previdência_(série)'!$A$2:$A$166,"&gt;"&amp;EDATE('Previdência_(série)'!$A60,-12),'Previdência_(série)'!$A$2:$A$166,"&lt;"&amp;EDATE(A60,1))</f>
        <v>59406904732.65</v>
      </c>
      <c r="N60" s="5">
        <v>1833865222.02</v>
      </c>
      <c r="O60" s="5">
        <f>IF(MONTH('Previdência_(série)'!$A60)=1,'Previdência_(série)'!$N60,'Previdência_(série)'!$N60-N59)</f>
        <v>166529350.4</v>
      </c>
      <c r="P60" s="5">
        <f>SUMIFS('Previdência_(série)'!$O$2:$O$166,'Previdência_(série)'!$A$2:$A$166,"&gt;"&amp;EDATE('Previdência_(série)'!$A60,-12),'Previdência_(série)'!$A$2:$A$166,"&lt;"&amp;EDATE(A60,1))</f>
        <v>2041299320.17</v>
      </c>
      <c r="Q60" s="5">
        <v>21544578012.75</v>
      </c>
      <c r="R60" s="5">
        <f>IF(MONTH('Previdência_(série)'!$A60)=1,'Previdência_(série)'!$Q60,'Previdência_(série)'!$Q60-Q59)</f>
        <v>2777400184.5</v>
      </c>
      <c r="S60" s="5">
        <f>SUMIFS('Previdência_(série)'!$R$2:$R$166,'Previdência_(série)'!$A$2:$A$166,"&gt;"&amp;EDATE('Previdência_(série)'!$A60,-12),'Previdência_(série)'!$A$2:$A$166,"&lt;"&amp;EDATE(A60,1))</f>
        <v>23037400721.76</v>
      </c>
      <c r="T60" s="5"/>
      <c r="U60" s="5">
        <f>IF(MONTH('Previdência_(série)'!$A60)=1,'Previdência_(série)'!$T60,'Previdência_(série)'!$T60-T59)</f>
        <v>0</v>
      </c>
      <c r="V60" s="5">
        <f>SUMIFS('Previdência_(série)'!$U$2:$U$166,'Previdência_(série)'!$A$2:$A$166,"&gt;"&amp;EDATE('Previdência_(série)'!$A60,-12),'Previdência_(série)'!$A$2:$A$166,"&lt;"&amp;EDATE(A60,1))</f>
        <v>0</v>
      </c>
      <c r="W60" s="5"/>
      <c r="X60" s="5">
        <f>IF(MONTH('Previdência_(série)'!$A60)=1,'Previdência_(série)'!$W60,'Previdência_(série)'!$W60-W59)</f>
        <v>0</v>
      </c>
      <c r="Y60" s="5">
        <f>SUMIFS('Previdência_(série)'!$X$2:$X$166,'Previdência_(série)'!$A$2:$A$166,"&gt;"&amp;EDATE('Previdência_(série)'!$A60,-12),'Previdência_(série)'!$A$2:$A$166,"&lt;"&amp;EDATE(A60,1))</f>
        <v>0</v>
      </c>
      <c r="Z60" s="199"/>
      <c r="AA60" s="1"/>
      <c r="AB60" s="1"/>
      <c r="AC60" s="1"/>
      <c r="AD60" s="4" t="s">
        <v>596</v>
      </c>
      <c r="AE60" s="17">
        <v>41214</v>
      </c>
      <c r="AF60" s="4">
        <v>2012</v>
      </c>
    </row>
    <row ht="13.8" outlineLevel="0" r="61">
      <c r="A61" s="17">
        <v>41244</v>
      </c>
      <c r="B61" s="5">
        <v>276588265119.46</v>
      </c>
      <c r="C61" s="5">
        <f>IF(MONTH('Previdência_(série)'!$A61)=1,'Previdência_(série)'!$B61,'Previdência_(série)'!$B61-B60)</f>
        <v>36913739822.88</v>
      </c>
      <c r="D61" s="5">
        <f>SUMIFS('Previdência_(série)'!$C$2:$C$166,'Previdência_(série)'!$A$2:$A$166,"&gt;"&amp;EDATE('Previdência_(série)'!$A61,-12),'Previdência_(série)'!$A$2:$A$166,"&lt;"&amp;EDATE(A61,1))</f>
        <v>276588265119.46</v>
      </c>
      <c r="E61" s="5">
        <v>318830269646.27</v>
      </c>
      <c r="F61" s="5">
        <f>IF(MONTH('Previdência_(série)'!$A61)=1,'Previdência_(série)'!$E61,'Previdência_(série)'!$E61-E60)</f>
        <v>20211420849.57</v>
      </c>
      <c r="G61" s="5">
        <f>SUMIFS('Previdência_(série)'!$F$2:$F$166,'Previdência_(série)'!$A$2:$A$166,"&gt;"&amp;EDATE('Previdência_(série)'!$A61,-12),'Previdência_(série)'!$A$2:$A$166,"&lt;"&amp;EDATE(A61,1))</f>
        <v>318830269646.27</v>
      </c>
      <c r="H61" s="5">
        <v>22983505005.35</v>
      </c>
      <c r="I61" s="5">
        <f>IF(MONTH('Previdência_(série)'!$A61)=1,'Previdência_(série)'!$H61,'Previdência_(série)'!$H61-H60)</f>
        <v>2046900042.81</v>
      </c>
      <c r="J61" s="5">
        <f>SUMIFS('Previdência_(série)'!$I$2:$I$166,'Previdência_(série)'!$A$2:$A$166,"&gt;"&amp;EDATE('Previdência_(série)'!$A61,-12),'Previdência_(série)'!$A$2:$A$166,"&lt;"&amp;EDATE(A61,1))</f>
        <v>22983505005.35</v>
      </c>
      <c r="K61" s="5">
        <v>59224183837.78</v>
      </c>
      <c r="L61" s="5">
        <f>IF(MONTH('Previdência_(série)'!$A61)=1,'Previdência_(série)'!$K61,'Previdência_(série)'!$K61-K60)</f>
        <v>5008945801.19</v>
      </c>
      <c r="M61" s="5">
        <f>SUMIFS('Previdência_(série)'!$L$2:$L$166,'Previdência_(série)'!$A$2:$A$166,"&gt;"&amp;EDATE('Previdência_(série)'!$A61,-12),'Previdência_(série)'!$A$2:$A$166,"&lt;"&amp;EDATE(A61,1))</f>
        <v>59224183837.78</v>
      </c>
      <c r="N61" s="5">
        <v>2001211420.36</v>
      </c>
      <c r="O61" s="5">
        <f>IF(MONTH('Previdência_(série)'!$A61)=1,'Previdência_(série)'!$N61,'Previdência_(série)'!$N61-N60)</f>
        <v>167346198.34</v>
      </c>
      <c r="P61" s="5">
        <f>SUMIFS('Previdência_(série)'!$O$2:$O$166,'Previdência_(série)'!$A$2:$A$166,"&gt;"&amp;EDATE('Previdência_(série)'!$A61,-12),'Previdência_(série)'!$A$2:$A$166,"&lt;"&amp;EDATE(A61,1))</f>
        <v>2001211420.36</v>
      </c>
      <c r="Q61" s="5">
        <v>23321608625.59</v>
      </c>
      <c r="R61" s="5">
        <f>IF(MONTH('Previdência_(série)'!$A61)=1,'Previdência_(série)'!$Q61,'Previdência_(série)'!$Q61-Q60)</f>
        <v>1777030612.84</v>
      </c>
      <c r="S61" s="5">
        <f>SUMIFS('Previdência_(série)'!$R$2:$R$166,'Previdência_(série)'!$A$2:$A$166,"&gt;"&amp;EDATE('Previdência_(série)'!$A61,-12),'Previdência_(série)'!$A$2:$A$166,"&lt;"&amp;EDATE(A61,1))</f>
        <v>23321608625.59</v>
      </c>
      <c r="T61" s="5"/>
      <c r="U61" s="5">
        <f>IF(MONTH('Previdência_(série)'!$A61)=1,'Previdência_(série)'!$T61,'Previdência_(série)'!$T61-T60)</f>
        <v>0</v>
      </c>
      <c r="V61" s="5">
        <f>SUMIFS('Previdência_(série)'!$U$2:$U$166,'Previdência_(série)'!$A$2:$A$166,"&gt;"&amp;EDATE('Previdência_(série)'!$A61,-12),'Previdência_(série)'!$A$2:$A$166,"&lt;"&amp;EDATE(A61,1))</f>
        <v>0</v>
      </c>
      <c r="W61" s="5"/>
      <c r="X61" s="5">
        <f>IF(MONTH('Previdência_(série)'!$A61)=1,'Previdência_(série)'!$W61,'Previdência_(série)'!$W61-W60)</f>
        <v>0</v>
      </c>
      <c r="Y61" s="5">
        <f>SUMIFS('Previdência_(série)'!$X$2:$X$166,'Previdência_(série)'!$A$2:$A$166,"&gt;"&amp;EDATE('Previdência_(série)'!$A61,-12),'Previdência_(série)'!$A$2:$A$166,"&lt;"&amp;EDATE(A61,1))</f>
        <v>0</v>
      </c>
      <c r="Z61" s="199"/>
      <c r="AA61" s="1"/>
      <c r="AB61" s="1"/>
      <c r="AC61" s="1"/>
      <c r="AD61" s="4" t="s">
        <v>597</v>
      </c>
      <c r="AE61" s="17">
        <v>41244</v>
      </c>
      <c r="AF61" s="4">
        <v>2012</v>
      </c>
    </row>
    <row ht="13.8" outlineLevel="0" r="62">
      <c r="A62" s="17">
        <v>41275</v>
      </c>
      <c r="B62" s="5">
        <v>23527688060.28</v>
      </c>
      <c r="C62" s="5">
        <f>IF(MONTH('Previdência_(série)'!$A62)=1,'Previdência_(série)'!$B62,'Previdência_(série)'!$B62-B61)</f>
        <v>23527688060.28</v>
      </c>
      <c r="D62" s="5">
        <f>SUMIFS('Previdência_(série)'!$C$2:$C$166,'Previdência_(série)'!$A$2:$A$166,"&gt;"&amp;EDATE('Previdência_(série)'!$A62,-12),'Previdência_(série)'!$A$2:$A$166,"&lt;"&amp;EDATE(A62,1))</f>
        <v>278215340418.3</v>
      </c>
      <c r="E62" s="5">
        <v>34709918653.02</v>
      </c>
      <c r="F62" s="5">
        <f>IF(MONTH('Previdência_(série)'!$A62)=1,'Previdência_(série)'!$E62,'Previdência_(série)'!$E62-E61)</f>
        <v>34709918653.02</v>
      </c>
      <c r="G62" s="5">
        <f>SUMIFS('Previdência_(série)'!$F$2:$F$166,'Previdência_(série)'!$A$2:$A$166,"&gt;"&amp;EDATE('Previdência_(série)'!$A62,-12),'Previdência_(série)'!$A$2:$A$166,"&lt;"&amp;EDATE(A62,1))</f>
        <v>326365200224.84</v>
      </c>
      <c r="H62" s="5">
        <v>1405250802.13</v>
      </c>
      <c r="I62" s="5">
        <f>IF(MONTH('Previdência_(série)'!$A62)=1,'Previdência_(série)'!$H62,'Previdência_(série)'!$H62-H61)</f>
        <v>1405250802.13</v>
      </c>
      <c r="J62" s="5">
        <f>SUMIFS('Previdência_(série)'!$I$2:$I$166,'Previdência_(série)'!$A$2:$A$166,"&gt;"&amp;EDATE('Previdência_(série)'!$A62,-12),'Previdência_(série)'!$A$2:$A$166,"&lt;"&amp;EDATE(A62,1))</f>
        <v>22548993271.16</v>
      </c>
      <c r="K62" s="5">
        <v>4748304446.99</v>
      </c>
      <c r="L62" s="5">
        <f>IF(MONTH('Previdência_(série)'!$A62)=1,'Previdência_(série)'!$K62,'Previdência_(série)'!$K62-K61)</f>
        <v>4748304446.99</v>
      </c>
      <c r="M62" s="5">
        <f>SUMIFS('Previdência_(série)'!$L$2:$L$166,'Previdência_(série)'!$A$2:$A$166,"&gt;"&amp;EDATE('Previdência_(série)'!$A62,-12),'Previdência_(série)'!$A$2:$A$166,"&lt;"&amp;EDATE(A62,1))</f>
        <v>59349194461.63</v>
      </c>
      <c r="N62" s="5">
        <v>125524662.11</v>
      </c>
      <c r="O62" s="5">
        <f>IF(MONTH('Previdência_(série)'!$A62)=1,'Previdência_(série)'!$N62,'Previdência_(série)'!$N62-N61)</f>
        <v>125524662.11</v>
      </c>
      <c r="P62" s="5">
        <f>SUMIFS('Previdência_(série)'!$O$2:$O$166,'Previdência_(série)'!$A$2:$A$166,"&gt;"&amp;EDATE('Previdência_(série)'!$A62,-12),'Previdência_(série)'!$A$2:$A$166,"&lt;"&amp;EDATE(A62,1))</f>
        <v>1960068700.68</v>
      </c>
      <c r="Q62" s="5">
        <v>1750823745.63</v>
      </c>
      <c r="R62" s="5">
        <f>IF(MONTH('Previdência_(série)'!$A62)=1,'Previdência_(série)'!$Q62,'Previdência_(série)'!$Q62-Q61)</f>
        <v>1750823745.63</v>
      </c>
      <c r="S62" s="5">
        <f>SUMIFS('Previdência_(série)'!$R$2:$R$166,'Previdência_(série)'!$A$2:$A$166,"&gt;"&amp;EDATE('Previdência_(série)'!$A62,-12),'Previdência_(série)'!$A$2:$A$166,"&lt;"&amp;EDATE(A62,1))</f>
        <v>23470975843.75</v>
      </c>
      <c r="T62" s="5"/>
      <c r="U62" s="5" t="s">
        <f>IF(MONTH('Previdência_(série)'!$A62)=1,'Previdência_(série)'!$T62,'Previdência_(série)'!$T62-T61)</f>
      </c>
      <c r="V62" s="5">
        <f>SUMIFS('Previdência_(série)'!$U$2:$U$166,'Previdência_(série)'!$A$2:$A$166,"&gt;"&amp;EDATE('Previdência_(série)'!$A62,-12),'Previdência_(série)'!$A$2:$A$166,"&lt;"&amp;EDATE(A62,1))</f>
        <v>0</v>
      </c>
      <c r="W62" s="5"/>
      <c r="X62" s="5" t="s">
        <f>IF(MONTH('Previdência_(série)'!$A62)=1,'Previdência_(série)'!$W62,'Previdência_(série)'!$W62-W61)</f>
      </c>
      <c r="Y62" s="5">
        <f>SUMIFS('Previdência_(série)'!$X$2:$X$166,'Previdência_(série)'!$A$2:$A$166,"&gt;"&amp;EDATE('Previdência_(série)'!$A62,-12),'Previdência_(série)'!$A$2:$A$166,"&lt;"&amp;EDATE(A62,1))</f>
        <v>0</v>
      </c>
      <c r="Z62" s="199"/>
      <c r="AA62" s="1"/>
      <c r="AB62" s="1"/>
      <c r="AC62" s="1"/>
      <c r="AD62" s="4" t="s">
        <v>586</v>
      </c>
      <c r="AE62" s="17">
        <v>41275</v>
      </c>
      <c r="AF62" s="4">
        <v>2013</v>
      </c>
    </row>
    <row ht="13.8" outlineLevel="0" r="63">
      <c r="A63" s="17">
        <v>41306</v>
      </c>
      <c r="B63" s="5">
        <v>45831505258.22</v>
      </c>
      <c r="C63" s="5">
        <f>IF(MONTH('Previdência_(série)'!$A63)=1,'Previdência_(série)'!$B63,'Previdência_(série)'!$B63-B62)</f>
        <v>22303817197.94</v>
      </c>
      <c r="D63" s="5">
        <f>SUMIFS('Previdência_(série)'!$C$2:$C$166,'Previdência_(série)'!$A$2:$A$166,"&gt;"&amp;EDATE('Previdência_(série)'!$A63,-12),'Previdência_(série)'!$A$2:$A$166,"&lt;"&amp;EDATE(A63,1))</f>
        <v>281475967003.94</v>
      </c>
      <c r="E63" s="5">
        <v>62670668197.41</v>
      </c>
      <c r="F63" s="5">
        <f>IF(MONTH('Previdência_(série)'!$A63)=1,'Previdência_(série)'!$E63,'Previdência_(série)'!$E63-E62)</f>
        <v>27960749544.39</v>
      </c>
      <c r="G63" s="5">
        <f>SUMIFS('Previdência_(série)'!$F$2:$F$166,'Previdência_(série)'!$A$2:$A$166,"&gt;"&amp;EDATE('Previdência_(série)'!$A63,-12),'Previdência_(série)'!$A$2:$A$166,"&lt;"&amp;EDATE(A63,1))</f>
        <v>330296974257.99</v>
      </c>
      <c r="H63" s="5">
        <v>3431107285.54</v>
      </c>
      <c r="I63" s="5">
        <f>IF(MONTH('Previdência_(série)'!$A63)=1,'Previdência_(série)'!$H63,'Previdência_(série)'!$H63-H62)</f>
        <v>2025856483.41</v>
      </c>
      <c r="J63" s="5">
        <f>SUMIFS('Previdência_(série)'!$I$2:$I$166,'Previdência_(série)'!$A$2:$A$166,"&gt;"&amp;EDATE('Previdência_(série)'!$A63,-12),'Previdência_(série)'!$A$2:$A$166,"&lt;"&amp;EDATE(A63,1))</f>
        <v>22888972857.84</v>
      </c>
      <c r="K63" s="5">
        <v>9477224684.7</v>
      </c>
      <c r="L63" s="5">
        <f>IF(MONTH('Previdência_(série)'!$A63)=1,'Previdência_(série)'!$K63,'Previdência_(série)'!$K63-K62)</f>
        <v>4728920237.71</v>
      </c>
      <c r="M63" s="5">
        <f>SUMIFS('Previdência_(série)'!$L$2:$L$166,'Previdência_(série)'!$A$2:$A$166,"&gt;"&amp;EDATE('Previdência_(série)'!$A63,-12),'Previdência_(série)'!$A$2:$A$166,"&lt;"&amp;EDATE(A63,1))</f>
        <v>59854159832.07</v>
      </c>
      <c r="N63" s="5">
        <v>292861334.49</v>
      </c>
      <c r="O63" s="5">
        <f>IF(MONTH('Previdência_(série)'!$A63)=1,'Previdência_(série)'!$N63,'Previdência_(série)'!$N63-N62)</f>
        <v>167336672.38</v>
      </c>
      <c r="P63" s="5">
        <f>SUMIFS('Previdência_(série)'!$O$2:$O$166,'Previdência_(série)'!$A$2:$A$166,"&gt;"&amp;EDATE('Previdência_(série)'!$A63,-12),'Previdência_(série)'!$A$2:$A$166,"&lt;"&amp;EDATE(A63,1))</f>
        <v>1960912638.38</v>
      </c>
      <c r="Q63" s="5">
        <v>3503209866.6</v>
      </c>
      <c r="R63" s="5">
        <f>IF(MONTH('Previdência_(série)'!$A63)=1,'Previdência_(série)'!$Q63,'Previdência_(série)'!$Q63-Q62)</f>
        <v>1752386120.97</v>
      </c>
      <c r="S63" s="5">
        <f>SUMIFS('Previdência_(série)'!$R$2:$R$166,'Previdência_(série)'!$A$2:$A$166,"&gt;"&amp;EDATE('Previdência_(série)'!$A63,-12),'Previdência_(série)'!$A$2:$A$166,"&lt;"&amp;EDATE(A63,1))</f>
        <v>23226205766.68</v>
      </c>
      <c r="T63" s="5"/>
      <c r="U63" s="5">
        <f>IF(MONTH('Previdência_(série)'!$A63)=1,'Previdência_(série)'!$T63,'Previdência_(série)'!$T63-T62)</f>
        <v>0</v>
      </c>
      <c r="V63" s="5">
        <f>SUMIFS('Previdência_(série)'!$U$2:$U$166,'Previdência_(série)'!$A$2:$A$166,"&gt;"&amp;EDATE('Previdência_(série)'!$A63,-12),'Previdência_(série)'!$A$2:$A$166,"&lt;"&amp;EDATE(A63,1))</f>
        <v>0</v>
      </c>
      <c r="W63" s="5"/>
      <c r="X63" s="5">
        <f>IF(MONTH('Previdência_(série)'!$A63)=1,'Previdência_(série)'!$W63,'Previdência_(série)'!$W63-W62)</f>
        <v>0</v>
      </c>
      <c r="Y63" s="5">
        <f>SUMIFS('Previdência_(série)'!$X$2:$X$166,'Previdência_(série)'!$A$2:$A$166,"&gt;"&amp;EDATE('Previdência_(série)'!$A63,-12),'Previdência_(série)'!$A$2:$A$166,"&lt;"&amp;EDATE(A63,1))</f>
        <v>0</v>
      </c>
      <c r="Z63" s="199"/>
      <c r="AA63" s="1"/>
      <c r="AB63" s="1"/>
      <c r="AC63" s="1"/>
      <c r="AD63" s="4" t="s">
        <v>587</v>
      </c>
      <c r="AE63" s="17">
        <v>41306</v>
      </c>
      <c r="AF63" s="4">
        <v>2013</v>
      </c>
    </row>
    <row ht="13.8" outlineLevel="0" r="64">
      <c r="A64" s="17">
        <v>41334</v>
      </c>
      <c r="B64" s="5">
        <v>68505393660.76</v>
      </c>
      <c r="C64" s="5">
        <f>IF(MONTH('Previdência_(série)'!$A64)=1,'Previdência_(série)'!$B64,'Previdência_(série)'!$B64-B63)</f>
        <v>22673888402.54</v>
      </c>
      <c r="D64" s="5">
        <f>SUMIFS('Previdência_(série)'!$C$2:$C$166,'Previdência_(série)'!$A$2:$A$166,"&gt;"&amp;EDATE('Previdência_(série)'!$A64,-12),'Previdência_(série)'!$A$2:$A$166,"&lt;"&amp;EDATE(A64,1))</f>
        <v>281819387289.68</v>
      </c>
      <c r="E64" s="5">
        <v>87025327493.57</v>
      </c>
      <c r="F64" s="5">
        <f>IF(MONTH('Previdência_(série)'!$A64)=1,'Previdência_(série)'!$E64,'Previdência_(série)'!$E64-E63)</f>
        <v>24354659296.16</v>
      </c>
      <c r="G64" s="5">
        <f>SUMIFS('Previdência_(série)'!$F$2:$F$166,'Previdência_(série)'!$A$2:$A$166,"&gt;"&amp;EDATE('Previdência_(série)'!$A64,-12),'Previdência_(série)'!$A$2:$A$166,"&lt;"&amp;EDATE(A64,1))</f>
        <v>330399037758.68</v>
      </c>
      <c r="H64" s="5">
        <v>5268187455.86</v>
      </c>
      <c r="I64" s="5">
        <f>IF(MONTH('Previdência_(série)'!$A64)=1,'Previdência_(série)'!$H64,'Previdência_(série)'!$H64-H63)</f>
        <v>1837080170.32</v>
      </c>
      <c r="J64" s="5">
        <f>SUMIFS('Previdência_(série)'!$I$2:$I$166,'Previdência_(série)'!$A$2:$A$166,"&gt;"&amp;EDATE('Previdência_(série)'!$A64,-12),'Previdência_(série)'!$A$2:$A$166,"&lt;"&amp;EDATE(A64,1))</f>
        <v>22972806596.87</v>
      </c>
      <c r="K64" s="5">
        <v>14362764389.01</v>
      </c>
      <c r="L64" s="5">
        <f>IF(MONTH('Previdência_(série)'!$A64)=1,'Previdência_(série)'!$K64,'Previdência_(série)'!$K64-K63)</f>
        <v>4885539704.31</v>
      </c>
      <c r="M64" s="5">
        <f>SUMIFS('Previdência_(série)'!$L$2:$L$166,'Previdência_(série)'!$A$2:$A$166,"&gt;"&amp;EDATE('Previdência_(série)'!$A64,-12),'Previdência_(série)'!$A$2:$A$166,"&lt;"&amp;EDATE(A64,1))</f>
        <v>60296171580.55</v>
      </c>
      <c r="N64" s="5">
        <v>518126976.85</v>
      </c>
      <c r="O64" s="5">
        <f>IF(MONTH('Previdência_(série)'!$A64)=1,'Previdência_(série)'!$N64,'Previdência_(série)'!$N64-N63)</f>
        <v>225265642.36</v>
      </c>
      <c r="P64" s="5">
        <f>SUMIFS('Previdência_(série)'!$O$2:$O$166,'Previdência_(série)'!$A$2:$A$166,"&gt;"&amp;EDATE('Previdência_(série)'!$A64,-12),'Previdência_(série)'!$A$2:$A$166,"&lt;"&amp;EDATE(A64,1))</f>
        <v>2019494013.02</v>
      </c>
      <c r="Q64" s="5">
        <v>5427109287.03</v>
      </c>
      <c r="R64" s="5">
        <f>IF(MONTH('Previdência_(série)'!$A64)=1,'Previdência_(série)'!$Q64,'Previdência_(série)'!$Q64-Q63)</f>
        <v>1923899420.43</v>
      </c>
      <c r="S64" s="5">
        <f>SUMIFS('Previdência_(série)'!$R$2:$R$166,'Previdência_(série)'!$A$2:$A$166,"&gt;"&amp;EDATE('Previdência_(série)'!$A64,-12),'Previdência_(série)'!$A$2:$A$166,"&lt;"&amp;EDATE(A64,1))</f>
        <v>23360887910.52</v>
      </c>
      <c r="T64" s="5"/>
      <c r="U64" s="5">
        <f>IF(MONTH('Previdência_(série)'!$A64)=1,'Previdência_(série)'!$T64,'Previdência_(série)'!$T64-T63)</f>
        <v>0</v>
      </c>
      <c r="V64" s="5">
        <f>SUMIFS('Previdência_(série)'!$U$2:$U$166,'Previdência_(série)'!$A$2:$A$166,"&gt;"&amp;EDATE('Previdência_(série)'!$A64,-12),'Previdência_(série)'!$A$2:$A$166,"&lt;"&amp;EDATE(A64,1))</f>
        <v>0</v>
      </c>
      <c r="W64" s="5"/>
      <c r="X64" s="5">
        <f>IF(MONTH('Previdência_(série)'!$A64)=1,'Previdência_(série)'!$W64,'Previdência_(série)'!$W64-W63)</f>
        <v>0</v>
      </c>
      <c r="Y64" s="5">
        <f>SUMIFS('Previdência_(série)'!$X$2:$X$166,'Previdência_(série)'!$A$2:$A$166,"&gt;"&amp;EDATE('Previdência_(série)'!$A64,-12),'Previdência_(série)'!$A$2:$A$166,"&lt;"&amp;EDATE(A64,1))</f>
        <v>0</v>
      </c>
      <c r="Z64" s="199"/>
      <c r="AA64" s="1"/>
      <c r="AB64" s="1"/>
      <c r="AC64" s="1"/>
      <c r="AD64" s="4" t="s">
        <v>588</v>
      </c>
      <c r="AE64" s="17">
        <v>41334</v>
      </c>
      <c r="AF64" s="4">
        <v>2013</v>
      </c>
    </row>
    <row ht="13.8" outlineLevel="0" r="65">
      <c r="A65" s="17">
        <v>41365</v>
      </c>
      <c r="B65" s="5">
        <v>93771331650.89</v>
      </c>
      <c r="C65" s="5">
        <f>IF(MONTH('Previdência_(série)'!$A65)=1,'Previdência_(série)'!$B65,'Previdência_(série)'!$B65-B64)</f>
        <v>25265937990.13</v>
      </c>
      <c r="D65" s="5">
        <f>SUMIFS('Previdência_(série)'!$C$2:$C$166,'Previdência_(série)'!$A$2:$A$166,"&gt;"&amp;EDATE('Previdência_(série)'!$A65,-12),'Previdência_(série)'!$A$2:$A$166,"&lt;"&amp;EDATE(A65,1))</f>
        <v>285344963690.61</v>
      </c>
      <c r="E65" s="5">
        <v>116537082560.38</v>
      </c>
      <c r="F65" s="5">
        <f>IF(MONTH('Previdência_(série)'!$A65)=1,'Previdência_(série)'!$E65,'Previdência_(série)'!$E65-E64)</f>
        <v>29511755066.81</v>
      </c>
      <c r="G65" s="5">
        <f>SUMIFS('Previdência_(série)'!$F$2:$F$166,'Previdência_(série)'!$A$2:$A$166,"&gt;"&amp;EDATE('Previdência_(série)'!$A65,-12),'Previdência_(série)'!$A$2:$A$166,"&lt;"&amp;EDATE(A65,1))</f>
        <v>332865055414.61</v>
      </c>
      <c r="H65" s="5">
        <v>7227042465.46</v>
      </c>
      <c r="I65" s="5">
        <f>IF(MONTH('Previdência_(série)'!$A65)=1,'Previdência_(série)'!$H65,'Previdência_(série)'!$H65-H64)</f>
        <v>1958855009.6</v>
      </c>
      <c r="J65" s="5">
        <f>SUMIFS('Previdência_(série)'!$I$2:$I$166,'Previdência_(série)'!$A$2:$A$166,"&gt;"&amp;EDATE('Previdência_(série)'!$A65,-12),'Previdência_(série)'!$A$2:$A$166,"&lt;"&amp;EDATE(A65,1))</f>
        <v>23222715346.18</v>
      </c>
      <c r="K65" s="5">
        <v>19486854856.78</v>
      </c>
      <c r="L65" s="5">
        <f>IF(MONTH('Previdência_(série)'!$A65)=1,'Previdência_(série)'!$K65,'Previdência_(série)'!$K65-K64)</f>
        <v>5124090467.77</v>
      </c>
      <c r="M65" s="5">
        <f>SUMIFS('Previdência_(série)'!$L$2:$L$166,'Previdência_(série)'!$A$2:$A$166,"&gt;"&amp;EDATE('Previdência_(série)'!$A65,-12),'Previdência_(série)'!$A$2:$A$166,"&lt;"&amp;EDATE(A65,1))</f>
        <v>60835464484.66</v>
      </c>
      <c r="N65" s="5">
        <v>654981903.93</v>
      </c>
      <c r="O65" s="5">
        <f>IF(MONTH('Previdência_(série)'!$A65)=1,'Previdência_(série)'!$N65,'Previdência_(série)'!$N65-N64)</f>
        <v>136854927.08</v>
      </c>
      <c r="P65" s="5">
        <f>SUMIFS('Previdência_(série)'!$O$2:$O$166,'Previdência_(série)'!$A$2:$A$166,"&gt;"&amp;EDATE('Previdência_(série)'!$A65,-12),'Previdência_(série)'!$A$2:$A$166,"&lt;"&amp;EDATE(A65,1))</f>
        <v>1989851157.07</v>
      </c>
      <c r="Q65" s="5">
        <v>7342053410.42</v>
      </c>
      <c r="R65" s="5">
        <f>IF(MONTH('Previdência_(série)'!$A65)=1,'Previdência_(série)'!$Q65,'Previdência_(série)'!$Q65-Q64)</f>
        <v>1914944123.39</v>
      </c>
      <c r="S65" s="5">
        <f>SUMIFS('Previdência_(série)'!$R$2:$R$166,'Previdência_(série)'!$A$2:$A$166,"&gt;"&amp;EDATE('Previdência_(série)'!$A65,-12),'Previdência_(série)'!$A$2:$A$166,"&lt;"&amp;EDATE(A65,1))</f>
        <v>23472158769.69</v>
      </c>
      <c r="T65" s="5"/>
      <c r="U65" s="5">
        <f>IF(MONTH('Previdência_(série)'!$A65)=1,'Previdência_(série)'!$T65,'Previdência_(série)'!$T65-T64)</f>
        <v>0</v>
      </c>
      <c r="V65" s="5">
        <f>SUMIFS('Previdência_(série)'!$U$2:$U$166,'Previdência_(série)'!$A$2:$A$166,"&gt;"&amp;EDATE('Previdência_(série)'!$A65,-12),'Previdência_(série)'!$A$2:$A$166,"&lt;"&amp;EDATE(A65,1))</f>
        <v>0</v>
      </c>
      <c r="W65" s="5"/>
      <c r="X65" s="5">
        <f>IF(MONTH('Previdência_(série)'!$A65)=1,'Previdência_(série)'!$W65,'Previdência_(série)'!$W65-W64)</f>
        <v>0</v>
      </c>
      <c r="Y65" s="5">
        <f>SUMIFS('Previdência_(série)'!$X$2:$X$166,'Previdência_(série)'!$A$2:$A$166,"&gt;"&amp;EDATE('Previdência_(série)'!$A65,-12),'Previdência_(série)'!$A$2:$A$166,"&lt;"&amp;EDATE(A65,1))</f>
        <v>0</v>
      </c>
      <c r="Z65" s="199"/>
      <c r="AA65" s="1"/>
      <c r="AB65" s="1"/>
      <c r="AC65" s="1"/>
      <c r="AD65" s="4" t="s">
        <v>589</v>
      </c>
      <c r="AE65" s="17">
        <v>41365</v>
      </c>
      <c r="AF65" s="4">
        <v>2013</v>
      </c>
    </row>
    <row ht="13.8" outlineLevel="0" r="66">
      <c r="A66" s="17">
        <v>41395</v>
      </c>
      <c r="B66" s="5">
        <v>118096674774.86</v>
      </c>
      <c r="C66" s="5">
        <f>IF(MONTH('Previdência_(série)'!$A66)=1,'Previdência_(série)'!$B66,'Previdência_(série)'!$B66-B65)</f>
        <v>24325343123.97</v>
      </c>
      <c r="D66" s="5">
        <f>SUMIFS('Previdência_(série)'!$C$2:$C$166,'Previdência_(série)'!$A$2:$A$166,"&gt;"&amp;EDATE('Previdência_(série)'!$A66,-12),'Previdência_(série)'!$A$2:$A$166,"&lt;"&amp;EDATE(A66,1))</f>
        <v>287895168179.22</v>
      </c>
      <c r="E66" s="5">
        <v>145918206302.53</v>
      </c>
      <c r="F66" s="5">
        <f>IF(MONTH('Previdência_(série)'!$A66)=1,'Previdência_(série)'!$E66,'Previdência_(série)'!$E66-E65)</f>
        <v>29381123742.15</v>
      </c>
      <c r="G66" s="5">
        <f>SUMIFS('Previdência_(série)'!$F$2:$F$166,'Previdência_(série)'!$A$2:$A$166,"&gt;"&amp;EDATE('Previdência_(série)'!$A66,-12),'Previdência_(série)'!$A$2:$A$166,"&lt;"&amp;EDATE(A66,1))</f>
        <v>337571636779.05</v>
      </c>
      <c r="H66" s="5">
        <v>9352148682.52</v>
      </c>
      <c r="I66" s="5">
        <f>IF(MONTH('Previdência_(série)'!$A66)=1,'Previdência_(série)'!$H66,'Previdência_(série)'!$H66-H65)</f>
        <v>2125106217.06</v>
      </c>
      <c r="J66" s="5">
        <f>SUMIFS('Previdência_(série)'!$I$2:$I$166,'Previdência_(série)'!$A$2:$A$166,"&gt;"&amp;EDATE('Previdência_(série)'!$A66,-12),'Previdência_(série)'!$A$2:$A$166,"&lt;"&amp;EDATE(A66,1))</f>
        <v>23528265036.97</v>
      </c>
      <c r="K66" s="5">
        <v>24588906304.13</v>
      </c>
      <c r="L66" s="5">
        <f>IF(MONTH('Previdência_(série)'!$A66)=1,'Previdência_(série)'!$K66,'Previdência_(série)'!$K66-K65)</f>
        <v>5102051447.34999</v>
      </c>
      <c r="M66" s="5">
        <f>SUMIFS('Previdência_(série)'!$L$2:$L$166,'Previdência_(série)'!$A$2:$A$166,"&gt;"&amp;EDATE('Previdência_(série)'!$A66,-12),'Previdência_(série)'!$A$2:$A$166,"&lt;"&amp;EDATE(A66,1))</f>
        <v>61097562272.36</v>
      </c>
      <c r="N66" s="5">
        <v>884275777.5</v>
      </c>
      <c r="O66" s="5">
        <f>IF(MONTH('Previdência_(série)'!$A66)=1,'Previdência_(série)'!$N66,'Previdência_(série)'!$N66-N65)</f>
        <v>229293873.57</v>
      </c>
      <c r="P66" s="5">
        <f>SUMIFS('Previdência_(série)'!$O$2:$O$166,'Previdência_(série)'!$A$2:$A$166,"&gt;"&amp;EDATE('Previdência_(série)'!$A66,-12),'Previdência_(série)'!$A$2:$A$166,"&lt;"&amp;EDATE(A66,1))</f>
        <v>2052459037.12</v>
      </c>
      <c r="Q66" s="5">
        <v>9258054783.66</v>
      </c>
      <c r="R66" s="5">
        <f>IF(MONTH('Previdência_(série)'!$A66)=1,'Previdência_(série)'!$Q66,'Previdência_(série)'!$Q66-Q65)</f>
        <v>1916001373.24</v>
      </c>
      <c r="S66" s="5">
        <f>SUMIFS('Previdência_(série)'!$R$2:$R$166,'Previdência_(série)'!$A$2:$A$166,"&gt;"&amp;EDATE('Previdência_(série)'!$A66,-12),'Previdência_(série)'!$A$2:$A$166,"&lt;"&amp;EDATE(A66,1))</f>
        <v>23633325313.27</v>
      </c>
      <c r="T66" s="5"/>
      <c r="U66" s="5">
        <f>IF(MONTH('Previdência_(série)'!$A66)=1,'Previdência_(série)'!$T66,'Previdência_(série)'!$T66-T65)</f>
        <v>0</v>
      </c>
      <c r="V66" s="5">
        <f>SUMIFS('Previdência_(série)'!$U$2:$U$166,'Previdência_(série)'!$A$2:$A$166,"&gt;"&amp;EDATE('Previdência_(série)'!$A66,-12),'Previdência_(série)'!$A$2:$A$166,"&lt;"&amp;EDATE(A66,1))</f>
        <v>0</v>
      </c>
      <c r="W66" s="5"/>
      <c r="X66" s="5">
        <f>IF(MONTH('Previdência_(série)'!$A66)=1,'Previdência_(série)'!$W66,'Previdência_(série)'!$W66-W65)</f>
        <v>0</v>
      </c>
      <c r="Y66" s="5">
        <f>SUMIFS('Previdência_(série)'!$X$2:$X$166,'Previdência_(série)'!$A$2:$A$166,"&gt;"&amp;EDATE('Previdência_(série)'!$A66,-12),'Previdência_(série)'!$A$2:$A$166,"&lt;"&amp;EDATE(A66,1))</f>
        <v>0</v>
      </c>
      <c r="Z66" s="199"/>
      <c r="AA66" s="1"/>
      <c r="AB66" s="1"/>
      <c r="AC66" s="1"/>
      <c r="AD66" s="4" t="s">
        <v>590</v>
      </c>
      <c r="AE66" s="17">
        <v>41395</v>
      </c>
      <c r="AF66" s="4">
        <v>2013</v>
      </c>
    </row>
    <row ht="13.8" outlineLevel="0" r="67">
      <c r="A67" s="17">
        <v>41426</v>
      </c>
      <c r="B67" s="5">
        <v>142220919805.31</v>
      </c>
      <c r="C67" s="5">
        <f>IF(MONTH('Previdência_(série)'!$A67)=1,'Previdência_(série)'!$B67,'Previdência_(série)'!$B67-B66)</f>
        <v>24124245030.45</v>
      </c>
      <c r="D67" s="5">
        <f>SUMIFS('Previdência_(série)'!$C$2:$C$166,'Previdência_(série)'!$A$2:$A$166,"&gt;"&amp;EDATE('Previdência_(série)'!$A67,-12),'Previdência_(série)'!$A$2:$A$166,"&lt;"&amp;EDATE(A67,1))</f>
        <v>290357691498.55</v>
      </c>
      <c r="E67" s="5">
        <v>171735653827.71</v>
      </c>
      <c r="F67" s="5">
        <f>IF(MONTH('Previdência_(série)'!$A67)=1,'Previdência_(série)'!$E67,'Previdência_(série)'!$E67-E66)</f>
        <v>25817447525.18</v>
      </c>
      <c r="G67" s="5">
        <f>SUMIFS('Previdência_(série)'!$F$2:$F$166,'Previdência_(série)'!$A$2:$A$166,"&gt;"&amp;EDATE('Previdência_(série)'!$A67,-12),'Previdência_(série)'!$A$2:$A$166,"&lt;"&amp;EDATE(A67,1))</f>
        <v>339120185189.02</v>
      </c>
      <c r="H67" s="5">
        <v>11418840927.9</v>
      </c>
      <c r="I67" s="5">
        <f>IF(MONTH('Previdência_(série)'!$A67)=1,'Previdência_(série)'!$H67,'Previdência_(série)'!$H67-H66)</f>
        <v>2066692245.38</v>
      </c>
      <c r="J67" s="5">
        <f>SUMIFS('Previdência_(série)'!$I$2:$I$166,'Previdência_(série)'!$A$2:$A$166,"&gt;"&amp;EDATE('Previdência_(série)'!$A67,-12),'Previdência_(série)'!$A$2:$A$166,"&lt;"&amp;EDATE(A67,1))</f>
        <v>23792749597.32</v>
      </c>
      <c r="K67" s="5">
        <v>31616607227.51</v>
      </c>
      <c r="L67" s="5">
        <f>IF(MONTH('Previdência_(série)'!$A67)=1,'Previdência_(série)'!$K67,'Previdência_(série)'!$K67-K66)</f>
        <v>7027700923.38</v>
      </c>
      <c r="M67" s="5">
        <f>SUMIFS('Previdência_(série)'!$L$2:$L$166,'Previdência_(série)'!$A$2:$A$166,"&gt;"&amp;EDATE('Previdência_(série)'!$A67,-12),'Previdência_(série)'!$A$2:$A$166,"&lt;"&amp;EDATE(A67,1))</f>
        <v>61669850691.65</v>
      </c>
      <c r="N67" s="5">
        <v>1022234104.03</v>
      </c>
      <c r="O67" s="5">
        <f>IF(MONTH('Previdência_(série)'!$A67)=1,'Previdência_(série)'!$N67,'Previdência_(série)'!$N67-N66)</f>
        <v>137958326.53</v>
      </c>
      <c r="P67" s="5">
        <f>SUMIFS('Previdência_(série)'!$O$2:$O$166,'Previdência_(série)'!$A$2:$A$166,"&gt;"&amp;EDATE('Previdência_(série)'!$A67,-12),'Previdência_(série)'!$A$2:$A$166,"&lt;"&amp;EDATE(A67,1))</f>
        <v>2023498324.91</v>
      </c>
      <c r="Q67" s="5">
        <v>12297928826.49</v>
      </c>
      <c r="R67" s="5">
        <f>IF(MONTH('Previdência_(série)'!$A67)=1,'Previdência_(série)'!$Q67,'Previdência_(série)'!$Q67-Q66)</f>
        <v>3039874042.83</v>
      </c>
      <c r="S67" s="5">
        <f>SUMIFS('Previdência_(série)'!$R$2:$R$166,'Previdência_(série)'!$A$2:$A$166,"&gt;"&amp;EDATE('Previdência_(série)'!$A67,-12),'Previdência_(série)'!$A$2:$A$166,"&lt;"&amp;EDATE(A67,1))</f>
        <v>23922430345.68</v>
      </c>
      <c r="T67" s="5"/>
      <c r="U67" s="5">
        <f>IF(MONTH('Previdência_(série)'!$A67)=1,'Previdência_(série)'!$T67,'Previdência_(série)'!$T67-T66)</f>
        <v>0</v>
      </c>
      <c r="V67" s="5">
        <f>SUMIFS('Previdência_(série)'!$U$2:$U$166,'Previdência_(série)'!$A$2:$A$166,"&gt;"&amp;EDATE('Previdência_(série)'!$A67,-12),'Previdência_(série)'!$A$2:$A$166,"&lt;"&amp;EDATE(A67,1))</f>
        <v>0</v>
      </c>
      <c r="W67" s="5"/>
      <c r="X67" s="5">
        <f>IF(MONTH('Previdência_(série)'!$A67)=1,'Previdência_(série)'!$W67,'Previdência_(série)'!$W67-W66)</f>
        <v>0</v>
      </c>
      <c r="Y67" s="5">
        <f>SUMIFS('Previdência_(série)'!$X$2:$X$166,'Previdência_(série)'!$A$2:$A$166,"&gt;"&amp;EDATE('Previdência_(série)'!$A67,-12),'Previdência_(série)'!$A$2:$A$166,"&lt;"&amp;EDATE(A67,1))</f>
        <v>0</v>
      </c>
      <c r="Z67" s="199"/>
      <c r="AA67" s="1"/>
      <c r="AB67" s="1"/>
      <c r="AC67" s="1"/>
      <c r="AD67" s="4" t="s">
        <v>591</v>
      </c>
      <c r="AE67" s="17">
        <v>41426</v>
      </c>
      <c r="AF67" s="4">
        <v>2013</v>
      </c>
    </row>
    <row ht="13.8" outlineLevel="0" r="68">
      <c r="A68" s="17">
        <v>41456</v>
      </c>
      <c r="B68" s="5">
        <v>166833908801.6</v>
      </c>
      <c r="C68" s="5">
        <f>IF(MONTH('Previdência_(série)'!$A68)=1,'Previdência_(série)'!$B68,'Previdência_(série)'!$B68-B67)</f>
        <v>24612988996.29</v>
      </c>
      <c r="D68" s="5">
        <f>SUMIFS('Previdência_(série)'!$C$2:$C$166,'Previdência_(série)'!$A$2:$A$166,"&gt;"&amp;EDATE('Previdência_(série)'!$A68,-12),'Previdência_(série)'!$A$2:$A$166,"&lt;"&amp;EDATE(A68,1))</f>
        <v>292732869967.78</v>
      </c>
      <c r="E68" s="5">
        <v>198923226199.69</v>
      </c>
      <c r="F68" s="5">
        <f>IF(MONTH('Previdência_(série)'!$A68)=1,'Previdência_(série)'!$E68,'Previdência_(série)'!$E68-E67)</f>
        <v>27187572371.98</v>
      </c>
      <c r="G68" s="5">
        <f>SUMIFS('Previdência_(série)'!$F$2:$F$166,'Previdência_(série)'!$A$2:$A$166,"&gt;"&amp;EDATE('Previdência_(série)'!$A68,-12),'Previdência_(série)'!$A$2:$A$166,"&lt;"&amp;EDATE(A68,1))</f>
        <v>341377238563.46</v>
      </c>
      <c r="H68" s="5">
        <v>13324417503.48</v>
      </c>
      <c r="I68" s="5">
        <f>IF(MONTH('Previdência_(série)'!$A68)=1,'Previdência_(série)'!$H68,'Previdência_(série)'!$H68-H67)</f>
        <v>1905576575.58</v>
      </c>
      <c r="J68" s="5">
        <f>SUMIFS('Previdência_(série)'!$I$2:$I$166,'Previdência_(série)'!$A$2:$A$166,"&gt;"&amp;EDATE('Previdência_(série)'!$A68,-12),'Previdência_(série)'!$A$2:$A$166,"&lt;"&amp;EDATE(A68,1))</f>
        <v>23948835040.81</v>
      </c>
      <c r="K68" s="5">
        <v>36599000719.4</v>
      </c>
      <c r="L68" s="5">
        <f>IF(MONTH('Previdência_(série)'!$A68)=1,'Previdência_(série)'!$K68,'Previdência_(série)'!$K68-K67)</f>
        <v>4982393491.89</v>
      </c>
      <c r="M68" s="5">
        <f>SUMIFS('Previdência_(série)'!$L$2:$L$166,'Previdência_(série)'!$A$2:$A$166,"&gt;"&amp;EDATE('Previdência_(série)'!$A68,-12),'Previdência_(série)'!$A$2:$A$166,"&lt;"&amp;EDATE(A68,1))</f>
        <v>62046685780.96</v>
      </c>
      <c r="N68" s="5">
        <v>1205564090.99</v>
      </c>
      <c r="O68" s="5">
        <f>IF(MONTH('Previdência_(série)'!$A68)=1,'Previdência_(série)'!$N68,'Previdência_(série)'!$N68-N67)</f>
        <v>183329986.96</v>
      </c>
      <c r="P68" s="5">
        <f>SUMIFS('Previdência_(série)'!$O$2:$O$166,'Previdência_(série)'!$A$2:$A$166,"&gt;"&amp;EDATE('Previdência_(série)'!$A68,-12),'Previdência_(série)'!$A$2:$A$166,"&lt;"&amp;EDATE(A68,1))</f>
        <v>2039730612.11</v>
      </c>
      <c r="Q68" s="5">
        <v>14182984934.74</v>
      </c>
      <c r="R68" s="5">
        <f>IF(MONTH('Previdência_(série)'!$A68)=1,'Previdência_(série)'!$Q68,'Previdência_(série)'!$Q68-Q67)</f>
        <v>1885056108.25</v>
      </c>
      <c r="S68" s="5">
        <f>SUMIFS('Previdência_(série)'!$R$2:$R$166,'Previdência_(série)'!$A$2:$A$166,"&gt;"&amp;EDATE('Previdência_(série)'!$A68,-12),'Previdência_(série)'!$A$2:$A$166,"&lt;"&amp;EDATE(A68,1))</f>
        <v>24036324214.44</v>
      </c>
      <c r="T68" s="5"/>
      <c r="U68" s="5">
        <f>IF(MONTH('Previdência_(série)'!$A68)=1,'Previdência_(série)'!$T68,'Previdência_(série)'!$T68-T67)</f>
        <v>0</v>
      </c>
      <c r="V68" s="5">
        <f>SUMIFS('Previdência_(série)'!$U$2:$U$166,'Previdência_(série)'!$A$2:$A$166,"&gt;"&amp;EDATE('Previdência_(série)'!$A68,-12),'Previdência_(série)'!$A$2:$A$166,"&lt;"&amp;EDATE(A68,1))</f>
        <v>0</v>
      </c>
      <c r="W68" s="5"/>
      <c r="X68" s="5">
        <f>IF(MONTH('Previdência_(série)'!$A68)=1,'Previdência_(série)'!$W68,'Previdência_(série)'!$W68-W67)</f>
        <v>0</v>
      </c>
      <c r="Y68" s="5">
        <f>SUMIFS('Previdência_(série)'!$X$2:$X$166,'Previdência_(série)'!$A$2:$A$166,"&gt;"&amp;EDATE('Previdência_(série)'!$A68,-12),'Previdência_(série)'!$A$2:$A$166,"&lt;"&amp;EDATE(A68,1))</f>
        <v>0</v>
      </c>
      <c r="Z68" s="199"/>
      <c r="AA68" s="1"/>
      <c r="AB68" s="1"/>
      <c r="AC68" s="1"/>
      <c r="AD68" s="4" t="s">
        <v>592</v>
      </c>
      <c r="AE68" s="17">
        <v>41456</v>
      </c>
      <c r="AF68" s="4">
        <v>2013</v>
      </c>
    </row>
    <row ht="13.8" outlineLevel="0" r="69">
      <c r="A69" s="17">
        <v>41487</v>
      </c>
      <c r="B69" s="5">
        <v>191752863134.86</v>
      </c>
      <c r="C69" s="5">
        <f>IF(MONTH('Previdência_(série)'!$A69)=1,'Previdência_(série)'!$B69,'Previdência_(série)'!$B69-B68)</f>
        <v>24918954333.26</v>
      </c>
      <c r="D69" s="5">
        <f>SUMIFS('Previdência_(série)'!$C$2:$C$166,'Previdência_(série)'!$A$2:$A$166,"&gt;"&amp;EDATE('Previdência_(série)'!$A69,-12),'Previdência_(série)'!$A$2:$A$166,"&lt;"&amp;EDATE(A69,1))</f>
        <v>295137546474.07</v>
      </c>
      <c r="E69" s="5">
        <v>240948816872.48</v>
      </c>
      <c r="F69" s="5">
        <f>IF(MONTH('Previdência_(série)'!$A69)=1,'Previdência_(série)'!$E69,'Previdência_(série)'!$E69-E68)</f>
        <v>42025590672.79</v>
      </c>
      <c r="G69" s="5">
        <f>SUMIFS('Previdência_(série)'!$F$2:$F$166,'Previdência_(série)'!$A$2:$A$166,"&gt;"&amp;EDATE('Previdência_(série)'!$A69,-12),'Previdência_(série)'!$A$2:$A$166,"&lt;"&amp;EDATE(A69,1))</f>
        <v>347622336023.61</v>
      </c>
      <c r="H69" s="5">
        <v>15217739026.94</v>
      </c>
      <c r="I69" s="5">
        <f>IF(MONTH('Previdência_(série)'!$A69)=1,'Previdência_(série)'!$H69,'Previdência_(série)'!$H69-H68)</f>
        <v>1893321523.46</v>
      </c>
      <c r="J69" s="5">
        <f>SUMIFS('Previdência_(série)'!$I$2:$I$166,'Previdência_(série)'!$A$2:$A$166,"&gt;"&amp;EDATE('Previdência_(série)'!$A69,-12),'Previdência_(série)'!$A$2:$A$166,"&lt;"&amp;EDATE(A69,1))</f>
        <v>24111506265.16</v>
      </c>
      <c r="K69" s="5">
        <v>41626374208.15</v>
      </c>
      <c r="L69" s="5">
        <f>IF(MONTH('Previdência_(série)'!$A69)=1,'Previdência_(série)'!$K69,'Previdência_(série)'!$K69-K68)</f>
        <v>5027373488.75</v>
      </c>
      <c r="M69" s="5">
        <f>SUMIFS('Previdência_(série)'!$L$2:$L$166,'Previdência_(série)'!$A$2:$A$166,"&gt;"&amp;EDATE('Previdência_(série)'!$A69,-12),'Previdência_(série)'!$A$2:$A$166,"&lt;"&amp;EDATE(A69,1))</f>
        <v>62460605332.11</v>
      </c>
      <c r="N69" s="5">
        <v>1388947137.53</v>
      </c>
      <c r="O69" s="5">
        <f>IF(MONTH('Previdência_(série)'!$A69)=1,'Previdência_(série)'!$N69,'Previdência_(série)'!$N69-N68)</f>
        <v>183383046.54</v>
      </c>
      <c r="P69" s="5">
        <f>SUMIFS('Previdência_(série)'!$O$2:$O$166,'Previdência_(série)'!$A$2:$A$166,"&gt;"&amp;EDATE('Previdência_(série)'!$A69,-12),'Previdência_(série)'!$A$2:$A$166,"&lt;"&amp;EDATE(A69,1))</f>
        <v>2056302327.6</v>
      </c>
      <c r="Q69" s="5">
        <v>16109112566.08</v>
      </c>
      <c r="R69" s="5">
        <f>IF(MONTH('Previdência_(série)'!$A69)=1,'Previdência_(série)'!$Q69,'Previdência_(série)'!$Q69-Q68)</f>
        <v>1926127631.34</v>
      </c>
      <c r="S69" s="5">
        <f>SUMIFS('Previdência_(série)'!$R$2:$R$166,'Previdência_(série)'!$A$2:$A$166,"&gt;"&amp;EDATE('Previdência_(série)'!$A69,-12),'Previdência_(série)'!$A$2:$A$166,"&lt;"&amp;EDATE(A69,1))</f>
        <v>24193690444.66</v>
      </c>
      <c r="T69" s="5"/>
      <c r="U69" s="5">
        <f>IF(MONTH('Previdência_(série)'!$A69)=1,'Previdência_(série)'!$T69,'Previdência_(série)'!$T69-T68)</f>
        <v>0</v>
      </c>
      <c r="V69" s="5">
        <f>SUMIFS('Previdência_(série)'!$U$2:$U$166,'Previdência_(série)'!$A$2:$A$166,"&gt;"&amp;EDATE('Previdência_(série)'!$A69,-12),'Previdência_(série)'!$A$2:$A$166,"&lt;"&amp;EDATE(A69,1))</f>
        <v>0</v>
      </c>
      <c r="W69" s="5"/>
      <c r="X69" s="5">
        <f>IF(MONTH('Previdência_(série)'!$A69)=1,'Previdência_(série)'!$W69,'Previdência_(série)'!$W69-W68)</f>
        <v>0</v>
      </c>
      <c r="Y69" s="5">
        <f>SUMIFS('Previdência_(série)'!$X$2:$X$166,'Previdência_(série)'!$A$2:$A$166,"&gt;"&amp;EDATE('Previdência_(série)'!$A69,-12),'Previdência_(série)'!$A$2:$A$166,"&lt;"&amp;EDATE(A69,1))</f>
        <v>0</v>
      </c>
      <c r="Z69" s="199"/>
      <c r="AA69" s="1"/>
      <c r="AB69" s="1"/>
      <c r="AC69" s="1"/>
      <c r="AD69" s="4" t="s">
        <v>593</v>
      </c>
      <c r="AE69" s="17">
        <v>41487</v>
      </c>
      <c r="AF69" s="4">
        <v>2013</v>
      </c>
    </row>
    <row ht="13.8" outlineLevel="0" r="70">
      <c r="A70" s="17">
        <v>41518</v>
      </c>
      <c r="B70" s="5">
        <v>216746178715.05</v>
      </c>
      <c r="C70" s="5">
        <f>IF(MONTH('Previdência_(série)'!$A70)=1,'Previdência_(série)'!$B70,'Previdência_(série)'!$B70-B69)</f>
        <v>24993315580.19</v>
      </c>
      <c r="D70" s="5">
        <f>SUMIFS('Previdência_(série)'!$C$2:$C$166,'Previdência_(série)'!$A$2:$A$166,"&gt;"&amp;EDATE('Previdência_(série)'!$A70,-12),'Previdência_(série)'!$A$2:$A$166,"&lt;"&amp;EDATE(A70,1))</f>
        <v>298464958386.08</v>
      </c>
      <c r="E70" s="5">
        <v>268583414814.78</v>
      </c>
      <c r="F70" s="5">
        <f>IF(MONTH('Previdência_(série)'!$A70)=1,'Previdência_(série)'!$E70,'Previdência_(série)'!$E70-E69)</f>
        <v>27634597942.3</v>
      </c>
      <c r="G70" s="5">
        <f>SUMIFS('Previdência_(série)'!$F$2:$F$166,'Previdência_(série)'!$A$2:$A$166,"&gt;"&amp;EDATE('Previdência_(série)'!$A70,-12),'Previdência_(série)'!$A$2:$A$166,"&lt;"&amp;EDATE(A70,1))</f>
        <v>350654693694.44</v>
      </c>
      <c r="H70" s="5">
        <v>17157404725.21</v>
      </c>
      <c r="I70" s="5">
        <f>IF(MONTH('Previdência_(série)'!$A70)=1,'Previdência_(série)'!$H70,'Previdência_(série)'!$H70-H69)</f>
        <v>1939665698.27</v>
      </c>
      <c r="J70" s="5">
        <f>SUMIFS('Previdência_(série)'!$I$2:$I$166,'Previdência_(série)'!$A$2:$A$166,"&gt;"&amp;EDATE('Previdência_(série)'!$A70,-12),'Previdência_(série)'!$A$2:$A$166,"&lt;"&amp;EDATE(A70,1))</f>
        <v>24305954707.42</v>
      </c>
      <c r="K70" s="5">
        <v>46604892416.1</v>
      </c>
      <c r="L70" s="5">
        <f>IF(MONTH('Previdência_(série)'!$A70)=1,'Previdência_(série)'!$K70,'Previdência_(série)'!$K70-K69)</f>
        <v>4978518207.95</v>
      </c>
      <c r="M70" s="5">
        <f>SUMIFS('Previdência_(série)'!$L$2:$L$166,'Previdência_(série)'!$A$2:$A$166,"&gt;"&amp;EDATE('Previdência_(série)'!$A70,-12),'Previdência_(série)'!$A$2:$A$166,"&lt;"&amp;EDATE(A70,1))</f>
        <v>62827746822.94</v>
      </c>
      <c r="N70" s="5">
        <v>1572961516.07</v>
      </c>
      <c r="O70" s="5">
        <f>IF(MONTH('Previdência_(série)'!$A70)=1,'Previdência_(série)'!$N70,'Previdência_(série)'!$N70-N69)</f>
        <v>184014378.54</v>
      </c>
      <c r="P70" s="5">
        <f>SUMIFS('Previdência_(série)'!$O$2:$O$166,'Previdência_(série)'!$A$2:$A$166,"&gt;"&amp;EDATE('Previdência_(série)'!$A70,-12),'Previdência_(série)'!$A$2:$A$166,"&lt;"&amp;EDATE(A70,1))</f>
        <v>2073528495.29</v>
      </c>
      <c r="Q70" s="5">
        <v>18038049028.78</v>
      </c>
      <c r="R70" s="5">
        <f>IF(MONTH('Previdência_(série)'!$A70)=1,'Previdência_(série)'!$Q70,'Previdência_(série)'!$Q70-Q69)</f>
        <v>1928936462.7</v>
      </c>
      <c r="S70" s="5">
        <f>SUMIFS('Previdência_(série)'!$R$2:$R$166,'Previdência_(série)'!$A$2:$A$166,"&gt;"&amp;EDATE('Previdência_(série)'!$A70,-12),'Previdência_(série)'!$A$2:$A$166,"&lt;"&amp;EDATE(A70,1))</f>
        <v>24354787658.69</v>
      </c>
      <c r="T70" s="5"/>
      <c r="U70" s="5">
        <f>IF(MONTH('Previdência_(série)'!$A70)=1,'Previdência_(série)'!$T70,'Previdência_(série)'!$T70-T69)</f>
        <v>0</v>
      </c>
      <c r="V70" s="5">
        <f>SUMIFS('Previdência_(série)'!$U$2:$U$166,'Previdência_(série)'!$A$2:$A$166,"&gt;"&amp;EDATE('Previdência_(série)'!$A70,-12),'Previdência_(série)'!$A$2:$A$166,"&lt;"&amp;EDATE(A70,1))</f>
        <v>0</v>
      </c>
      <c r="W70" s="5"/>
      <c r="X70" s="5">
        <f>IF(MONTH('Previdência_(série)'!$A70)=1,'Previdência_(série)'!$W70,'Previdência_(série)'!$W70-W69)</f>
        <v>0</v>
      </c>
      <c r="Y70" s="5">
        <f>SUMIFS('Previdência_(série)'!$X$2:$X$166,'Previdência_(série)'!$A$2:$A$166,"&gt;"&amp;EDATE('Previdência_(série)'!$A70,-12),'Previdência_(série)'!$A$2:$A$166,"&lt;"&amp;EDATE(A70,1))</f>
        <v>0</v>
      </c>
      <c r="Z70" s="199"/>
      <c r="AA70" s="1"/>
      <c r="AB70" s="1"/>
      <c r="AC70" s="1"/>
      <c r="AD70" s="4" t="s">
        <v>594</v>
      </c>
      <c r="AE70" s="17">
        <v>41518</v>
      </c>
      <c r="AF70" s="4">
        <v>2013</v>
      </c>
    </row>
    <row ht="13.8" outlineLevel="0" r="71">
      <c r="A71" s="17">
        <v>41548</v>
      </c>
      <c r="B71" s="5">
        <v>242179323272.45</v>
      </c>
      <c r="C71" s="5">
        <f>IF(MONTH('Previdência_(série)'!$A71)=1,'Previdência_(série)'!$B71,'Previdência_(série)'!$B71-B70)</f>
        <v>25433144557.4</v>
      </c>
      <c r="D71" s="5">
        <f>SUMIFS('Previdência_(série)'!$C$2:$C$166,'Previdência_(série)'!$A$2:$A$166,"&gt;"&amp;EDATE('Previdência_(série)'!$A71,-12),'Previdência_(série)'!$A$2:$A$166,"&lt;"&amp;EDATE(A71,1))</f>
        <v>301562786736.51</v>
      </c>
      <c r="E71" s="5">
        <v>296421971180.87</v>
      </c>
      <c r="F71" s="5">
        <f>IF(MONTH('Previdência_(série)'!$A71)=1,'Previdência_(série)'!$E71,'Previdência_(série)'!$E71-E70)</f>
        <v>27838556366.09</v>
      </c>
      <c r="G71" s="5">
        <f>SUMIFS('Previdência_(série)'!$F$2:$F$166,'Previdência_(série)'!$A$2:$A$166,"&gt;"&amp;EDATE('Previdência_(série)'!$A71,-12),'Previdência_(série)'!$A$2:$A$166,"&lt;"&amp;EDATE(A71,1))</f>
        <v>353195584498.97</v>
      </c>
      <c r="H71" s="5">
        <v>19036151496.11</v>
      </c>
      <c r="I71" s="5">
        <f>IF(MONTH('Previdência_(série)'!$A71)=1,'Previdência_(série)'!$H71,'Previdência_(série)'!$H71-H70)</f>
        <v>1878746770.9</v>
      </c>
      <c r="J71" s="5">
        <f>SUMIFS('Previdência_(série)'!$I$2:$I$166,'Previdência_(série)'!$A$2:$A$166,"&gt;"&amp;EDATE('Previdência_(série)'!$A71,-12),'Previdência_(série)'!$A$2:$A$166,"&lt;"&amp;EDATE(A71,1))</f>
        <v>24392113245.16</v>
      </c>
      <c r="K71" s="5">
        <v>51596041713.6</v>
      </c>
      <c r="L71" s="5">
        <f>IF(MONTH('Previdência_(série)'!$A71)=1,'Previdência_(série)'!$K71,'Previdência_(série)'!$K71-K70)</f>
        <v>4991149297.5</v>
      </c>
      <c r="M71" s="5">
        <f>SUMIFS('Previdência_(série)'!$L$2:$L$166,'Previdência_(série)'!$A$2:$A$166,"&gt;"&amp;EDATE('Previdência_(série)'!$A71,-12),'Previdência_(série)'!$A$2:$A$166,"&lt;"&amp;EDATE(A71,1))</f>
        <v>63232310079.61</v>
      </c>
      <c r="N71" s="5">
        <v>1756734979.56</v>
      </c>
      <c r="O71" s="5">
        <f>IF(MONTH('Previdência_(série)'!$A71)=1,'Previdência_(série)'!$N71,'Previdência_(série)'!$N71-N70)</f>
        <v>183773463.49</v>
      </c>
      <c r="P71" s="5">
        <f>SUMIFS('Previdência_(série)'!$O$2:$O$166,'Previdência_(série)'!$A$2:$A$166,"&gt;"&amp;EDATE('Previdência_(série)'!$A71,-12),'Previdência_(série)'!$A$2:$A$166,"&lt;"&amp;EDATE(A71,1))</f>
        <v>2090610528.3</v>
      </c>
      <c r="Q71" s="5">
        <v>19969960224.59</v>
      </c>
      <c r="R71" s="5">
        <f>IF(MONTH('Previdência_(série)'!$A71)=1,'Previdência_(série)'!$Q71,'Previdência_(série)'!$Q71-Q70)</f>
        <v>1931911195.81</v>
      </c>
      <c r="S71" s="5">
        <f>SUMIFS('Previdência_(série)'!$R$2:$R$166,'Previdência_(série)'!$A$2:$A$166,"&gt;"&amp;EDATE('Previdência_(série)'!$A71,-12),'Previdência_(série)'!$A$2:$A$166,"&lt;"&amp;EDATE(A71,1))</f>
        <v>24524391021.93</v>
      </c>
      <c r="T71" s="5"/>
      <c r="U71" s="5">
        <f>IF(MONTH('Previdência_(série)'!$A71)=1,'Previdência_(série)'!$T71,'Previdência_(série)'!$T71-T70)</f>
        <v>0</v>
      </c>
      <c r="V71" s="5">
        <f>SUMIFS('Previdência_(série)'!$U$2:$U$166,'Previdência_(série)'!$A$2:$A$166,"&gt;"&amp;EDATE('Previdência_(série)'!$A71,-12),'Previdência_(série)'!$A$2:$A$166,"&lt;"&amp;EDATE(A71,1))</f>
        <v>0</v>
      </c>
      <c r="W71" s="5"/>
      <c r="X71" s="5">
        <f>IF(MONTH('Previdência_(série)'!$A71)=1,'Previdência_(série)'!$W71,'Previdência_(série)'!$W71-W70)</f>
        <v>0</v>
      </c>
      <c r="Y71" s="5">
        <f>SUMIFS('Previdência_(série)'!$X$2:$X$166,'Previdência_(série)'!$A$2:$A$166,"&gt;"&amp;EDATE('Previdência_(série)'!$A71,-12),'Previdência_(série)'!$A$2:$A$166,"&lt;"&amp;EDATE(A71,1))</f>
        <v>0</v>
      </c>
      <c r="Z71" s="199"/>
      <c r="AA71" s="1"/>
      <c r="AB71" s="1"/>
      <c r="AC71" s="1"/>
      <c r="AD71" s="4" t="s">
        <v>595</v>
      </c>
      <c r="AE71" s="17">
        <v>41548</v>
      </c>
      <c r="AF71" s="4">
        <v>2013</v>
      </c>
    </row>
    <row ht="13.8" outlineLevel="0" r="72">
      <c r="A72" s="17">
        <v>41579</v>
      </c>
      <c r="B72" s="5">
        <v>267885156497.8</v>
      </c>
      <c r="C72" s="5">
        <f>IF(MONTH('Previdência_(série)'!$A72)=1,'Previdência_(série)'!$B72,'Previdência_(série)'!$B72-B71)</f>
        <v>25705833225.35</v>
      </c>
      <c r="D72" s="5">
        <f>SUMIFS('Previdência_(série)'!$C$2:$C$166,'Previdência_(série)'!$A$2:$A$166,"&gt;"&amp;EDATE('Previdência_(série)'!$A72,-12),'Previdência_(série)'!$A$2:$A$166,"&lt;"&amp;EDATE(A72,1))</f>
        <v>304798896320.68</v>
      </c>
      <c r="E72" s="5">
        <v>337074415838.4</v>
      </c>
      <c r="F72" s="5">
        <f>IF(MONTH('Previdência_(série)'!$A72)=1,'Previdência_(série)'!$E72,'Previdência_(série)'!$E72-E71)</f>
        <v>40652444657.53</v>
      </c>
      <c r="G72" s="5">
        <f>SUMIFS('Previdência_(série)'!$F$2:$F$166,'Previdência_(série)'!$A$2:$A$166,"&gt;"&amp;EDATE('Previdência_(série)'!$A72,-12),'Previdência_(série)'!$A$2:$A$166,"&lt;"&amp;EDATE(A72,1))</f>
        <v>357285836687.97</v>
      </c>
      <c r="H72" s="5">
        <v>22572178840.17</v>
      </c>
      <c r="I72" s="5">
        <f>IF(MONTH('Previdência_(série)'!$A72)=1,'Previdência_(série)'!$H72,'Previdência_(série)'!$H72-H71)</f>
        <v>3536027344.06</v>
      </c>
      <c r="J72" s="5">
        <f>SUMIFS('Previdência_(série)'!$I$2:$I$166,'Previdência_(série)'!$A$2:$A$166,"&gt;"&amp;EDATE('Previdência_(série)'!$A72,-12),'Previdência_(série)'!$A$2:$A$166,"&lt;"&amp;EDATE(A72,1))</f>
        <v>24619078882.98</v>
      </c>
      <c r="K72" s="5">
        <v>58760812095.48</v>
      </c>
      <c r="L72" s="5">
        <f>IF(MONTH('Previdência_(série)'!$A72)=1,'Previdência_(série)'!$K72,'Previdência_(série)'!$K72-K71)</f>
        <v>7164770381.88</v>
      </c>
      <c r="M72" s="5">
        <f>SUMIFS('Previdência_(série)'!$L$2:$L$166,'Previdência_(série)'!$A$2:$A$166,"&gt;"&amp;EDATE('Previdência_(série)'!$A72,-12),'Previdência_(série)'!$A$2:$A$166,"&lt;"&amp;EDATE(A72,1))</f>
        <v>63769757896.67</v>
      </c>
      <c r="N72" s="5">
        <v>1940261207.4</v>
      </c>
      <c r="O72" s="5">
        <f>IF(MONTH('Previdência_(série)'!$A72)=1,'Previdência_(série)'!$N72,'Previdência_(série)'!$N72-N71)</f>
        <v>183526227.84</v>
      </c>
      <c r="P72" s="5">
        <f>SUMIFS('Previdência_(série)'!$O$2:$O$166,'Previdência_(série)'!$A$2:$A$166,"&gt;"&amp;EDATE('Previdência_(série)'!$A72,-12),'Previdência_(série)'!$A$2:$A$166,"&lt;"&amp;EDATE(A72,1))</f>
        <v>2107607405.74</v>
      </c>
      <c r="Q72" s="5">
        <v>23022178557.96</v>
      </c>
      <c r="R72" s="5">
        <f>IF(MONTH('Previdência_(série)'!$A72)=1,'Previdência_(série)'!$Q72,'Previdência_(série)'!$Q72-Q71)</f>
        <v>3052218333.37</v>
      </c>
      <c r="S72" s="5">
        <f>SUMIFS('Previdência_(série)'!$R$2:$R$166,'Previdência_(série)'!$A$2:$A$166,"&gt;"&amp;EDATE('Previdência_(série)'!$A72,-12),'Previdência_(série)'!$A$2:$A$166,"&lt;"&amp;EDATE(A72,1))</f>
        <v>24799209170.8</v>
      </c>
      <c r="T72" s="5"/>
      <c r="U72" s="5">
        <f>IF(MONTH('Previdência_(série)'!$A72)=1,'Previdência_(série)'!$T72,'Previdência_(série)'!$T72-T71)</f>
        <v>0</v>
      </c>
      <c r="V72" s="5">
        <f>SUMIFS('Previdência_(série)'!$U$2:$U$166,'Previdência_(série)'!$A$2:$A$166,"&gt;"&amp;EDATE('Previdência_(série)'!$A72,-12),'Previdência_(série)'!$A$2:$A$166,"&lt;"&amp;EDATE(A72,1))</f>
        <v>0</v>
      </c>
      <c r="W72" s="5"/>
      <c r="X72" s="5">
        <f>IF(MONTH('Previdência_(série)'!$A72)=1,'Previdência_(série)'!$W72,'Previdência_(série)'!$W72-W71)</f>
        <v>0</v>
      </c>
      <c r="Y72" s="5">
        <f>SUMIFS('Previdência_(série)'!$X$2:$X$166,'Previdência_(série)'!$A$2:$A$166,"&gt;"&amp;EDATE('Previdência_(série)'!$A72,-12),'Previdência_(série)'!$A$2:$A$166,"&lt;"&amp;EDATE(A72,1))</f>
        <v>0</v>
      </c>
      <c r="Z72" s="199"/>
      <c r="AA72" s="1"/>
      <c r="AB72" s="1"/>
      <c r="AC72" s="1"/>
      <c r="AD72" s="4" t="s">
        <v>596</v>
      </c>
      <c r="AE72" s="17">
        <v>41579</v>
      </c>
      <c r="AF72" s="4">
        <v>2013</v>
      </c>
    </row>
    <row ht="13.8" outlineLevel="0" r="73">
      <c r="A73" s="17">
        <v>41609</v>
      </c>
      <c r="B73" s="5">
        <v>307584034514.68</v>
      </c>
      <c r="C73" s="5">
        <f>IF(MONTH('Previdência_(série)'!$A73)=1,'Previdência_(série)'!$B73,'Previdência_(série)'!$B73-B72)</f>
        <v>39698878016.88</v>
      </c>
      <c r="D73" s="5">
        <f>SUMIFS('Previdência_(série)'!$C$2:$C$166,'Previdência_(série)'!$A$2:$A$166,"&gt;"&amp;EDATE('Previdência_(série)'!$A73,-12),'Previdência_(série)'!$A$2:$A$166,"&lt;"&amp;EDATE(A73,1))</f>
        <v>307584034514.68</v>
      </c>
      <c r="E73" s="5">
        <v>358579376056.17</v>
      </c>
      <c r="F73" s="5">
        <f>IF(MONTH('Previdência_(série)'!$A73)=1,'Previdência_(série)'!$E73,'Previdência_(série)'!$E73-E72)</f>
        <v>21504960217.77</v>
      </c>
      <c r="G73" s="5">
        <f>SUMIFS('Previdência_(série)'!$F$2:$F$166,'Previdência_(série)'!$A$2:$A$166,"&gt;"&amp;EDATE('Previdência_(série)'!$A73,-12),'Previdência_(série)'!$A$2:$A$166,"&lt;"&amp;EDATE(A73,1))</f>
        <v>358579376056.17</v>
      </c>
      <c r="H73" s="5">
        <v>24577284785.55</v>
      </c>
      <c r="I73" s="5">
        <f>IF(MONTH('Previdência_(série)'!$A73)=1,'Previdência_(série)'!$H73,'Previdência_(série)'!$H73-H72)</f>
        <v>2005105945.38</v>
      </c>
      <c r="J73" s="5">
        <f>SUMIFS('Previdência_(série)'!$I$2:$I$166,'Previdência_(série)'!$A$2:$A$166,"&gt;"&amp;EDATE('Previdência_(série)'!$A73,-12),'Previdência_(série)'!$A$2:$A$166,"&lt;"&amp;EDATE(A73,1))</f>
        <v>24577284785.55</v>
      </c>
      <c r="K73" s="5">
        <v>64484230864.81</v>
      </c>
      <c r="L73" s="5">
        <f>IF(MONTH('Previdência_(série)'!$A73)=1,'Previdência_(série)'!$K73,'Previdência_(série)'!$K73-K72)</f>
        <v>5723418769.33</v>
      </c>
      <c r="M73" s="5">
        <f>SUMIFS('Previdência_(série)'!$L$2:$L$166,'Previdência_(série)'!$A$2:$A$166,"&gt;"&amp;EDATE('Previdência_(série)'!$A73,-12),'Previdência_(série)'!$A$2:$A$166,"&lt;"&amp;EDATE(A73,1))</f>
        <v>64484230864.81</v>
      </c>
      <c r="N73" s="5">
        <v>2170713949.75</v>
      </c>
      <c r="O73" s="5">
        <f>IF(MONTH('Previdência_(série)'!$A73)=1,'Previdência_(série)'!$N73,'Previdência_(série)'!$N73-N72)</f>
        <v>230452742.35</v>
      </c>
      <c r="P73" s="5">
        <f>SUMIFS('Previdência_(série)'!$O$2:$O$166,'Previdência_(série)'!$A$2:$A$166,"&gt;"&amp;EDATE('Previdência_(série)'!$A73,-12),'Previdência_(série)'!$A$2:$A$166,"&lt;"&amp;EDATE(A73,1))</f>
        <v>2170713949.75</v>
      </c>
      <c r="Q73" s="5">
        <v>24953267162.6</v>
      </c>
      <c r="R73" s="5">
        <f>IF(MONTH('Previdência_(série)'!$A73)=1,'Previdência_(série)'!$Q73,'Previdência_(série)'!$Q73-Q72)</f>
        <v>1931088604.64</v>
      </c>
      <c r="S73" s="5">
        <f>SUMIFS('Previdência_(série)'!$R$2:$R$166,'Previdência_(série)'!$A$2:$A$166,"&gt;"&amp;EDATE('Previdência_(série)'!$A73,-12),'Previdência_(série)'!$A$2:$A$166,"&lt;"&amp;EDATE(A73,1))</f>
        <v>24953267162.6</v>
      </c>
      <c r="T73" s="5"/>
      <c r="U73" s="5">
        <f>IF(MONTH('Previdência_(série)'!$A73)=1,'Previdência_(série)'!$T73,'Previdência_(série)'!$T73-T72)</f>
        <v>0</v>
      </c>
      <c r="V73" s="5">
        <f>SUMIFS('Previdência_(série)'!$U$2:$U$166,'Previdência_(série)'!$A$2:$A$166,"&gt;"&amp;EDATE('Previdência_(série)'!$A73,-12),'Previdência_(série)'!$A$2:$A$166,"&lt;"&amp;EDATE(A73,1))</f>
        <v>0</v>
      </c>
      <c r="W73" s="5"/>
      <c r="X73" s="5">
        <f>IF(MONTH('Previdência_(série)'!$A73)=1,'Previdência_(série)'!$W73,'Previdência_(série)'!$W73-W72)</f>
        <v>0</v>
      </c>
      <c r="Y73" s="5">
        <f>SUMIFS('Previdência_(série)'!$X$2:$X$166,'Previdência_(série)'!$A$2:$A$166,"&gt;"&amp;EDATE('Previdência_(série)'!$A73,-12),'Previdência_(série)'!$A$2:$A$166,"&lt;"&amp;EDATE(A73,1))</f>
        <v>0</v>
      </c>
      <c r="Z73" s="199"/>
      <c r="AA73" s="1"/>
      <c r="AB73" s="1"/>
      <c r="AC73" s="1"/>
      <c r="AD73" s="4" t="s">
        <v>597</v>
      </c>
      <c r="AE73" s="17">
        <v>41609</v>
      </c>
      <c r="AF73" s="4">
        <v>2013</v>
      </c>
    </row>
    <row ht="13.8" outlineLevel="0" r="74">
      <c r="A74" s="17">
        <v>41640</v>
      </c>
      <c r="B74" s="5">
        <v>26728325228.92</v>
      </c>
      <c r="C74" s="5">
        <f>IF(MONTH('Previdência_(série)'!$A74)=1,'Previdência_(série)'!$B74,'Previdência_(série)'!$B74-B73)</f>
        <v>26728325228.92</v>
      </c>
      <c r="D74" s="5">
        <f>SUMIFS('Previdência_(série)'!$C$2:$C$166,'Previdência_(série)'!$A$2:$A$166,"&gt;"&amp;EDATE('Previdência_(série)'!$A74,-12),'Previdência_(série)'!$A$2:$A$166,"&lt;"&amp;EDATE(A74,1))</f>
        <v>310784671683.32</v>
      </c>
      <c r="E74" s="5">
        <v>37134489360.51</v>
      </c>
      <c r="F74" s="5">
        <f>IF(MONTH('Previdência_(série)'!$A74)=1,'Previdência_(série)'!$E74,'Previdência_(série)'!$E74-E73)</f>
        <v>37134489360.51</v>
      </c>
      <c r="G74" s="5">
        <f>SUMIFS('Previdência_(série)'!$F$2:$F$166,'Previdência_(série)'!$A$2:$A$166,"&gt;"&amp;EDATE('Previdência_(série)'!$A74,-12),'Previdência_(série)'!$A$2:$A$166,"&lt;"&amp;EDATE(A74,1))</f>
        <v>361003946763.66</v>
      </c>
      <c r="H74" s="5">
        <v>2241836517.07</v>
      </c>
      <c r="I74" s="5">
        <f>IF(MONTH('Previdência_(série)'!$A74)=1,'Previdência_(série)'!$H74,'Previdência_(série)'!$H74-H73)</f>
        <v>2241836517.07</v>
      </c>
      <c r="J74" s="5">
        <f>SUMIFS('Previdência_(série)'!$I$2:$I$166,'Previdência_(série)'!$A$2:$A$166,"&gt;"&amp;EDATE('Previdência_(série)'!$A74,-12),'Previdência_(série)'!$A$2:$A$166,"&lt;"&amp;EDATE(A74,1))</f>
        <v>25413870500.49</v>
      </c>
      <c r="K74" s="5">
        <v>4942356340</v>
      </c>
      <c r="L74" s="5">
        <f>IF(MONTH('Previdência_(série)'!$A74)=1,'Previdência_(série)'!$K74,'Previdência_(série)'!$K74-K73)</f>
        <v>4942356340</v>
      </c>
      <c r="M74" s="5">
        <f>SUMIFS('Previdência_(série)'!$L$2:$L$166,'Previdência_(série)'!$A$2:$A$166,"&gt;"&amp;EDATE('Previdência_(série)'!$A74,-12),'Previdência_(série)'!$A$2:$A$166,"&lt;"&amp;EDATE(A74,1))</f>
        <v>64678282757.82</v>
      </c>
      <c r="N74" s="5">
        <v>137895021.17</v>
      </c>
      <c r="O74" s="5">
        <f>IF(MONTH('Previdência_(série)'!$A74)=1,'Previdência_(série)'!$N74,'Previdência_(série)'!$N74-N73)</f>
        <v>137895021.17</v>
      </c>
      <c r="P74" s="5">
        <f>SUMIFS('Previdência_(série)'!$O$2:$O$166,'Previdência_(série)'!$A$2:$A$166,"&gt;"&amp;EDATE('Previdência_(série)'!$A74,-12),'Previdência_(série)'!$A$2:$A$166,"&lt;"&amp;EDATE(A74,1))</f>
        <v>2183084308.81</v>
      </c>
      <c r="Q74" s="5">
        <v>2261587490.1</v>
      </c>
      <c r="R74" s="5">
        <f>IF(MONTH('Previdência_(série)'!$A74)=1,'Previdência_(série)'!$Q74,'Previdência_(série)'!$Q74-Q73)</f>
        <v>2261587490.1</v>
      </c>
      <c r="S74" s="5">
        <f>SUMIFS('Previdência_(série)'!$R$2:$R$166,'Previdência_(série)'!$A$2:$A$166,"&gt;"&amp;EDATE('Previdência_(série)'!$A74,-12),'Previdência_(série)'!$A$2:$A$166,"&lt;"&amp;EDATE(A74,1))</f>
        <v>25464030907.07</v>
      </c>
      <c r="T74" s="5"/>
      <c r="U74" s="5" t="s">
        <f>IF(MONTH('Previdência_(série)'!$A74)=1,'Previdência_(série)'!$T74,'Previdência_(série)'!$T74-T73)</f>
      </c>
      <c r="V74" s="5">
        <f>SUMIFS('Previdência_(série)'!$U$2:$U$166,'Previdência_(série)'!$A$2:$A$166,"&gt;"&amp;EDATE('Previdência_(série)'!$A74,-12),'Previdência_(série)'!$A$2:$A$166,"&lt;"&amp;EDATE(A74,1))</f>
        <v>0</v>
      </c>
      <c r="W74" s="5"/>
      <c r="X74" s="5" t="s">
        <f>IF(MONTH('Previdência_(série)'!$A74)=1,'Previdência_(série)'!$W74,'Previdência_(série)'!$W74-W73)</f>
      </c>
      <c r="Y74" s="5">
        <f>SUMIFS('Previdência_(série)'!$X$2:$X$166,'Previdência_(série)'!$A$2:$A$166,"&gt;"&amp;EDATE('Previdência_(série)'!$A74,-12),'Previdência_(série)'!$A$2:$A$166,"&lt;"&amp;EDATE(A74,1))</f>
        <v>0</v>
      </c>
      <c r="Z74" s="199"/>
      <c r="AA74" s="1"/>
      <c r="AB74" s="1"/>
      <c r="AC74" s="1"/>
      <c r="AD74" s="4" t="s">
        <v>586</v>
      </c>
      <c r="AE74" s="17">
        <v>41640</v>
      </c>
      <c r="AF74" s="4">
        <v>2014</v>
      </c>
    </row>
    <row ht="13.8" outlineLevel="0" r="75">
      <c r="A75" s="17">
        <v>41671</v>
      </c>
      <c r="B75" s="5">
        <v>52116429664.91</v>
      </c>
      <c r="C75" s="5">
        <f>IF(MONTH('Previdência_(série)'!$A75)=1,'Previdência_(série)'!$B75,'Previdência_(série)'!$B75-B74)</f>
        <v>25388104435.99</v>
      </c>
      <c r="D75" s="5">
        <f>SUMIFS('Previdência_(série)'!$C$2:$C$166,'Previdência_(série)'!$A$2:$A$166,"&gt;"&amp;EDATE('Previdência_(série)'!$A75,-12),'Previdência_(série)'!$A$2:$A$166,"&lt;"&amp;EDATE(A75,1))</f>
        <v>313868958921.37</v>
      </c>
      <c r="E75" s="5">
        <v>66811049756.3</v>
      </c>
      <c r="F75" s="5">
        <f>IF(MONTH('Previdência_(série)'!$A75)=1,'Previdência_(série)'!$E75,'Previdência_(série)'!$E75-E74)</f>
        <v>29676560395.79</v>
      </c>
      <c r="G75" s="5">
        <f>SUMIFS('Previdência_(série)'!$F$2:$F$166,'Previdência_(série)'!$A$2:$A$166,"&gt;"&amp;EDATE('Previdência_(série)'!$A75,-12),'Previdência_(série)'!$A$2:$A$166,"&lt;"&amp;EDATE(A75,1))</f>
        <v>362719757615.06</v>
      </c>
      <c r="H75" s="5">
        <v>4277797619.42</v>
      </c>
      <c r="I75" s="5">
        <f>IF(MONTH('Previdência_(série)'!$A75)=1,'Previdência_(série)'!$H75,'Previdência_(série)'!$H75-H74)</f>
        <v>2035961102.35</v>
      </c>
      <c r="J75" s="5">
        <f>SUMIFS('Previdência_(série)'!$I$2:$I$166,'Previdência_(série)'!$A$2:$A$166,"&gt;"&amp;EDATE('Previdência_(série)'!$A75,-12),'Previdência_(série)'!$A$2:$A$166,"&lt;"&amp;EDATE(A75,1))</f>
        <v>25423975119.43</v>
      </c>
      <c r="K75" s="5">
        <v>9756954588.69</v>
      </c>
      <c r="L75" s="5">
        <f>IF(MONTH('Previdência_(série)'!$A75)=1,'Previdência_(série)'!$K75,'Previdência_(série)'!$K75-K74)</f>
        <v>4814598248.69</v>
      </c>
      <c r="M75" s="5">
        <f>SUMIFS('Previdência_(série)'!$L$2:$L$166,'Previdência_(série)'!$A$2:$A$166,"&gt;"&amp;EDATE('Previdência_(série)'!$A75,-12),'Previdência_(série)'!$A$2:$A$166,"&lt;"&amp;EDATE(A75,1))</f>
        <v>64763960768.8</v>
      </c>
      <c r="N75" s="5">
        <v>322965589.62</v>
      </c>
      <c r="O75" s="5">
        <f>IF(MONTH('Previdência_(série)'!$A75)=1,'Previdência_(série)'!$N75,'Previdência_(série)'!$N75-N74)</f>
        <v>185070568.45</v>
      </c>
      <c r="P75" s="5">
        <f>SUMIFS('Previdência_(série)'!$O$2:$O$166,'Previdência_(série)'!$A$2:$A$166,"&gt;"&amp;EDATE('Previdência_(série)'!$A75,-12),'Previdência_(série)'!$A$2:$A$166,"&lt;"&amp;EDATE(A75,1))</f>
        <v>2200818204.88</v>
      </c>
      <c r="Q75" s="5">
        <v>4518362067.41</v>
      </c>
      <c r="R75" s="5">
        <f>IF(MONTH('Previdência_(série)'!$A75)=1,'Previdência_(série)'!$Q75,'Previdência_(série)'!$Q75-Q74)</f>
        <v>2256774577.31</v>
      </c>
      <c r="S75" s="5">
        <f>SUMIFS('Previdência_(série)'!$R$2:$R$166,'Previdência_(série)'!$A$2:$A$166,"&gt;"&amp;EDATE('Previdência_(série)'!$A75,-12),'Previdência_(série)'!$A$2:$A$166,"&lt;"&amp;EDATE(A75,1))</f>
        <v>25968419363.41</v>
      </c>
      <c r="T75" s="5"/>
      <c r="U75" s="5">
        <f>IF(MONTH('Previdência_(série)'!$A75)=1,'Previdência_(série)'!$T75,'Previdência_(série)'!$T75-T74)</f>
        <v>0</v>
      </c>
      <c r="V75" s="5">
        <f>SUMIFS('Previdência_(série)'!$U$2:$U$166,'Previdência_(série)'!$A$2:$A$166,"&gt;"&amp;EDATE('Previdência_(série)'!$A75,-12),'Previdência_(série)'!$A$2:$A$166,"&lt;"&amp;EDATE(A75,1))</f>
        <v>0</v>
      </c>
      <c r="W75" s="5"/>
      <c r="X75" s="5">
        <f>IF(MONTH('Previdência_(série)'!$A75)=1,'Previdência_(série)'!$W75,'Previdência_(série)'!$W75-W74)</f>
        <v>0</v>
      </c>
      <c r="Y75" s="5">
        <f>SUMIFS('Previdência_(série)'!$X$2:$X$166,'Previdência_(série)'!$A$2:$A$166,"&gt;"&amp;EDATE('Previdência_(série)'!$A75,-12),'Previdência_(série)'!$A$2:$A$166,"&lt;"&amp;EDATE(A75,1))</f>
        <v>0</v>
      </c>
      <c r="Z75" s="199"/>
      <c r="AA75" s="1"/>
      <c r="AB75" s="1"/>
      <c r="AC75" s="1"/>
      <c r="AD75" s="4" t="s">
        <v>587</v>
      </c>
      <c r="AE75" s="17">
        <v>41671</v>
      </c>
      <c r="AF75" s="4">
        <v>2014</v>
      </c>
    </row>
    <row ht="13.8" outlineLevel="0" r="76">
      <c r="A76" s="17">
        <v>41699</v>
      </c>
      <c r="B76" s="5">
        <v>77183362361.77</v>
      </c>
      <c r="C76" s="5">
        <f>IF(MONTH('Previdência_(série)'!$A76)=1,'Previdência_(série)'!$B76,'Previdência_(série)'!$B76-B75)</f>
        <v>25066932696.86</v>
      </c>
      <c r="D76" s="5">
        <f>SUMIFS('Previdência_(série)'!$C$2:$C$166,'Previdência_(série)'!$A$2:$A$166,"&gt;"&amp;EDATE('Previdência_(série)'!$A76,-12),'Previdência_(série)'!$A$2:$A$166,"&lt;"&amp;EDATE(A76,1))</f>
        <v>316262003215.69</v>
      </c>
      <c r="E76" s="5">
        <v>96741804882.2</v>
      </c>
      <c r="F76" s="5">
        <f>IF(MONTH('Previdência_(série)'!$A76)=1,'Previdência_(série)'!$E76,'Previdência_(série)'!$E76-E75)</f>
        <v>29930755125.9</v>
      </c>
      <c r="G76" s="5">
        <f>SUMIFS('Previdência_(série)'!$F$2:$F$166,'Previdência_(série)'!$A$2:$A$166,"&gt;"&amp;EDATE('Previdência_(série)'!$A76,-12),'Previdência_(série)'!$A$2:$A$166,"&lt;"&amp;EDATE(A76,1))</f>
        <v>368295853444.8</v>
      </c>
      <c r="H76" s="5">
        <v>6311999663.92</v>
      </c>
      <c r="I76" s="5">
        <f>IF(MONTH('Previdência_(série)'!$A76)=1,'Previdência_(série)'!$H76,'Previdência_(série)'!$H76-H75)</f>
        <v>2034202044.5</v>
      </c>
      <c r="J76" s="5">
        <f>SUMIFS('Previdência_(série)'!$I$2:$I$166,'Previdência_(série)'!$A$2:$A$166,"&gt;"&amp;EDATE('Previdência_(série)'!$A76,-12),'Previdência_(série)'!$A$2:$A$166,"&lt;"&amp;EDATE(A76,1))</f>
        <v>25621096993.61</v>
      </c>
      <c r="K76" s="5">
        <v>14625830436.92</v>
      </c>
      <c r="L76" s="5">
        <f>IF(MONTH('Previdência_(série)'!$A76)=1,'Previdência_(série)'!$K76,'Previdência_(série)'!$K76-K75)</f>
        <v>4868875848.23</v>
      </c>
      <c r="M76" s="5">
        <f>SUMIFS('Previdência_(série)'!$L$2:$L$166,'Previdência_(série)'!$A$2:$A$166,"&gt;"&amp;EDATE('Previdência_(série)'!$A76,-12),'Previdência_(série)'!$A$2:$A$166,"&lt;"&amp;EDATE(A76,1))</f>
        <v>64747296912.72</v>
      </c>
      <c r="N76" s="5">
        <v>519504777.24</v>
      </c>
      <c r="O76" s="5">
        <f>IF(MONTH('Previdência_(série)'!$A76)=1,'Previdência_(série)'!$N76,'Previdência_(série)'!$N76-N75)</f>
        <v>196539187.62</v>
      </c>
      <c r="P76" s="5">
        <f>SUMIFS('Previdência_(série)'!$O$2:$O$166,'Previdência_(série)'!$A$2:$A$166,"&gt;"&amp;EDATE('Previdência_(série)'!$A76,-12),'Previdência_(série)'!$A$2:$A$166,"&lt;"&amp;EDATE(A76,1))</f>
        <v>2172091750.14</v>
      </c>
      <c r="Q76" s="5">
        <v>6983777825.96</v>
      </c>
      <c r="R76" s="5">
        <f>IF(MONTH('Previdência_(série)'!$A76)=1,'Previdência_(série)'!$Q76,'Previdência_(série)'!$Q76-Q75)</f>
        <v>2465415758.55</v>
      </c>
      <c r="S76" s="5">
        <f>SUMIFS('Previdência_(série)'!$R$2:$R$166,'Previdência_(série)'!$A$2:$A$166,"&gt;"&amp;EDATE('Previdência_(série)'!$A76,-12),'Previdência_(série)'!$A$2:$A$166,"&lt;"&amp;EDATE(A76,1))</f>
        <v>26509935701.53</v>
      </c>
      <c r="T76" s="5"/>
      <c r="U76" s="5">
        <f>IF(MONTH('Previdência_(série)'!$A76)=1,'Previdência_(série)'!$T76,'Previdência_(série)'!$T76-T75)</f>
        <v>0</v>
      </c>
      <c r="V76" s="5">
        <f>SUMIFS('Previdência_(série)'!$U$2:$U$166,'Previdência_(série)'!$A$2:$A$166,"&gt;"&amp;EDATE('Previdência_(série)'!$A76,-12),'Previdência_(série)'!$A$2:$A$166,"&lt;"&amp;EDATE(A76,1))</f>
        <v>0</v>
      </c>
      <c r="W76" s="5"/>
      <c r="X76" s="5">
        <f>IF(MONTH('Previdência_(série)'!$A76)=1,'Previdência_(série)'!$W76,'Previdência_(série)'!$W76-W75)</f>
        <v>0</v>
      </c>
      <c r="Y76" s="5">
        <f>SUMIFS('Previdência_(série)'!$X$2:$X$166,'Previdência_(série)'!$A$2:$A$166,"&gt;"&amp;EDATE('Previdência_(série)'!$A76,-12),'Previdência_(série)'!$A$2:$A$166,"&lt;"&amp;EDATE(A76,1))</f>
        <v>0</v>
      </c>
      <c r="Z76" s="199"/>
      <c r="AA76" s="1"/>
      <c r="AB76" s="1"/>
      <c r="AC76" s="1"/>
      <c r="AD76" s="4" t="s">
        <v>588</v>
      </c>
      <c r="AE76" s="17">
        <v>41699</v>
      </c>
      <c r="AF76" s="4">
        <v>2014</v>
      </c>
    </row>
    <row ht="13.8" outlineLevel="0" r="77">
      <c r="A77" s="17">
        <v>41730</v>
      </c>
      <c r="B77" s="5">
        <v>104011600256.99</v>
      </c>
      <c r="C77" s="5">
        <f>IF(MONTH('Previdência_(série)'!$A77)=1,'Previdência_(série)'!$B77,'Previdência_(série)'!$B77-B76)</f>
        <v>26828237895.22</v>
      </c>
      <c r="D77" s="5">
        <f>SUMIFS('Previdência_(série)'!$C$2:$C$166,'Previdência_(série)'!$A$2:$A$166,"&gt;"&amp;EDATE('Previdência_(série)'!$A77,-12),'Previdência_(série)'!$A$2:$A$166,"&lt;"&amp;EDATE(A77,1))</f>
        <v>317824303120.78</v>
      </c>
      <c r="E77" s="5">
        <v>126692275246.18</v>
      </c>
      <c r="F77" s="5">
        <f>IF(MONTH('Previdência_(série)'!$A77)=1,'Previdência_(série)'!$E77,'Previdência_(série)'!$E77-E76)</f>
        <v>29950470363.98</v>
      </c>
      <c r="G77" s="5">
        <f>SUMIFS('Previdência_(série)'!$F$2:$F$166,'Previdência_(série)'!$A$2:$A$166,"&gt;"&amp;EDATE('Previdência_(série)'!$A77,-12),'Previdência_(série)'!$A$2:$A$166,"&lt;"&amp;EDATE(A77,1))</f>
        <v>368734568741.97</v>
      </c>
      <c r="H77" s="5">
        <v>8330049290.16</v>
      </c>
      <c r="I77" s="5">
        <f>IF(MONTH('Previdência_(série)'!$A77)=1,'Previdência_(série)'!$H77,'Previdência_(série)'!$H77-H76)</f>
        <v>2018049626.24</v>
      </c>
      <c r="J77" s="5">
        <f>SUMIFS('Previdência_(série)'!$I$2:$I$166,'Previdência_(série)'!$A$2:$A$166,"&gt;"&amp;EDATE('Previdência_(série)'!$A77,-12),'Previdência_(série)'!$A$2:$A$166,"&lt;"&amp;EDATE(A77,1))</f>
        <v>25680291610.25</v>
      </c>
      <c r="K77" s="5">
        <v>19531489859.2</v>
      </c>
      <c r="L77" s="5">
        <f>IF(MONTH('Previdência_(série)'!$A77)=1,'Previdência_(série)'!$K77,'Previdência_(série)'!$K77-K76)</f>
        <v>4905659422.28</v>
      </c>
      <c r="M77" s="5">
        <f>SUMIFS('Previdência_(série)'!$L$2:$L$166,'Previdência_(série)'!$A$2:$A$166,"&gt;"&amp;EDATE('Previdência_(série)'!$A77,-12),'Previdência_(série)'!$A$2:$A$166,"&lt;"&amp;EDATE(A77,1))</f>
        <v>64528865867.23</v>
      </c>
      <c r="N77" s="5">
        <v>721887581.78</v>
      </c>
      <c r="O77" s="5">
        <f>IF(MONTH('Previdência_(série)'!$A77)=1,'Previdência_(série)'!$N77,'Previdência_(série)'!$N77-N76)</f>
        <v>202382804.54</v>
      </c>
      <c r="P77" s="5">
        <f>SUMIFS('Previdência_(série)'!$O$2:$O$166,'Previdência_(série)'!$A$2:$A$166,"&gt;"&amp;EDATE('Previdência_(série)'!$A77,-12),'Previdência_(série)'!$A$2:$A$166,"&lt;"&amp;EDATE(A77,1))</f>
        <v>2237619627.6</v>
      </c>
      <c r="Q77" s="5">
        <v>9455207383.95</v>
      </c>
      <c r="R77" s="5">
        <f>IF(MONTH('Previdência_(série)'!$A77)=1,'Previdência_(série)'!$Q77,'Previdência_(série)'!$Q77-Q76)</f>
        <v>2471429557.99</v>
      </c>
      <c r="S77" s="5">
        <f>SUMIFS('Previdência_(série)'!$R$2:$R$166,'Previdência_(série)'!$A$2:$A$166,"&gt;"&amp;EDATE('Previdência_(série)'!$A77,-12),'Previdência_(série)'!$A$2:$A$166,"&lt;"&amp;EDATE(A77,1))</f>
        <v>27066421136.13</v>
      </c>
      <c r="T77" s="5"/>
      <c r="U77" s="5">
        <f>IF(MONTH('Previdência_(série)'!$A77)=1,'Previdência_(série)'!$T77,'Previdência_(série)'!$T77-T76)</f>
        <v>0</v>
      </c>
      <c r="V77" s="5">
        <f>SUMIFS('Previdência_(série)'!$U$2:$U$166,'Previdência_(série)'!$A$2:$A$166,"&gt;"&amp;EDATE('Previdência_(série)'!$A77,-12),'Previdência_(série)'!$A$2:$A$166,"&lt;"&amp;EDATE(A77,1))</f>
        <v>0</v>
      </c>
      <c r="W77" s="5"/>
      <c r="X77" s="5">
        <f>IF(MONTH('Previdência_(série)'!$A77)=1,'Previdência_(série)'!$W77,'Previdência_(série)'!$W77-W76)</f>
        <v>0</v>
      </c>
      <c r="Y77" s="5">
        <f>SUMIFS('Previdência_(série)'!$X$2:$X$166,'Previdência_(série)'!$A$2:$A$166,"&gt;"&amp;EDATE('Previdência_(série)'!$A77,-12),'Previdência_(série)'!$A$2:$A$166,"&lt;"&amp;EDATE(A77,1))</f>
        <v>0</v>
      </c>
      <c r="Z77" s="199"/>
      <c r="AA77" s="1"/>
      <c r="AB77" s="1"/>
      <c r="AC77" s="1"/>
      <c r="AD77" s="4" t="s">
        <v>589</v>
      </c>
      <c r="AE77" s="17">
        <v>41730</v>
      </c>
      <c r="AF77" s="4">
        <v>2014</v>
      </c>
    </row>
    <row ht="13.8" outlineLevel="0" r="78">
      <c r="A78" s="17">
        <v>41760</v>
      </c>
      <c r="B78" s="5">
        <v>130555220952.98</v>
      </c>
      <c r="C78" s="5">
        <f>IF(MONTH('Previdência_(série)'!$A78)=1,'Previdência_(série)'!$B78,'Previdência_(série)'!$B78-B77)</f>
        <v>26543620695.99</v>
      </c>
      <c r="D78" s="5">
        <f>SUMIFS('Previdência_(série)'!$C$2:$C$166,'Previdência_(série)'!$A$2:$A$166,"&gt;"&amp;EDATE('Previdência_(série)'!$A78,-12),'Previdência_(série)'!$A$2:$A$166,"&lt;"&amp;EDATE(A78,1))</f>
        <v>320042580692.8</v>
      </c>
      <c r="E78" s="5">
        <v>157079946635.5</v>
      </c>
      <c r="F78" s="5">
        <f>IF(MONTH('Previdência_(série)'!$A78)=1,'Previdência_(série)'!$E78,'Previdência_(série)'!$E78-E77)</f>
        <v>30387671389.32</v>
      </c>
      <c r="G78" s="5">
        <f>SUMIFS('Previdência_(série)'!$F$2:$F$166,'Previdência_(série)'!$A$2:$A$166,"&gt;"&amp;EDATE('Previdência_(série)'!$A78,-12),'Previdência_(série)'!$A$2:$A$166,"&lt;"&amp;EDATE(A78,1))</f>
        <v>369741116389.14</v>
      </c>
      <c r="H78" s="5">
        <v>10414334649.53</v>
      </c>
      <c r="I78" s="5">
        <f>IF(MONTH('Previdência_(série)'!$A78)=1,'Previdência_(série)'!$H78,'Previdência_(série)'!$H78-H77)</f>
        <v>2084285359.37</v>
      </c>
      <c r="J78" s="5">
        <f>SUMIFS('Previdência_(série)'!$I$2:$I$166,'Previdência_(série)'!$A$2:$A$166,"&gt;"&amp;EDATE('Previdência_(série)'!$A78,-12),'Previdência_(série)'!$A$2:$A$166,"&lt;"&amp;EDATE(A78,1))</f>
        <v>25639470752.56</v>
      </c>
      <c r="K78" s="5">
        <v>24515818329.48</v>
      </c>
      <c r="L78" s="5">
        <f>IF(MONTH('Previdência_(série)'!$A78)=1,'Previdência_(série)'!$K78,'Previdência_(série)'!$K78-K77)</f>
        <v>4984328470.28</v>
      </c>
      <c r="M78" s="5">
        <f>SUMIFS('Previdência_(série)'!$L$2:$L$166,'Previdência_(série)'!$A$2:$A$166,"&gt;"&amp;EDATE('Previdência_(série)'!$A78,-12),'Previdência_(série)'!$A$2:$A$166,"&lt;"&amp;EDATE(A78,1))</f>
        <v>64411142890.16</v>
      </c>
      <c r="N78" s="5">
        <v>923685912.12</v>
      </c>
      <c r="O78" s="5">
        <f>IF(MONTH('Previdência_(série)'!$A78)=1,'Previdência_(série)'!$N78,'Previdência_(série)'!$N78-N77)</f>
        <v>201798330.34</v>
      </c>
      <c r="P78" s="5">
        <f>SUMIFS('Previdência_(série)'!$O$2:$O$166,'Previdência_(série)'!$A$2:$A$166,"&gt;"&amp;EDATE('Previdência_(série)'!$A78,-12),'Previdência_(série)'!$A$2:$A$166,"&lt;"&amp;EDATE(A78,1))</f>
        <v>2210124084.37</v>
      </c>
      <c r="Q78" s="5">
        <v>11937944344.29</v>
      </c>
      <c r="R78" s="5">
        <f>IF(MONTH('Previdência_(série)'!$A78)=1,'Previdência_(série)'!$Q78,'Previdência_(série)'!$Q78-Q77)</f>
        <v>2482736960.34</v>
      </c>
      <c r="S78" s="5">
        <f>SUMIFS('Previdência_(série)'!$R$2:$R$166,'Previdência_(série)'!$A$2:$A$166,"&gt;"&amp;EDATE('Previdência_(série)'!$A78,-12),'Previdência_(série)'!$A$2:$A$166,"&lt;"&amp;EDATE(A78,1))</f>
        <v>27633156723.23</v>
      </c>
      <c r="T78" s="5"/>
      <c r="U78" s="5">
        <f>IF(MONTH('Previdência_(série)'!$A78)=1,'Previdência_(série)'!$T78,'Previdência_(série)'!$T78-T77)</f>
        <v>0</v>
      </c>
      <c r="V78" s="5">
        <f>SUMIFS('Previdência_(série)'!$U$2:$U$166,'Previdência_(série)'!$A$2:$A$166,"&gt;"&amp;EDATE('Previdência_(série)'!$A78,-12),'Previdência_(série)'!$A$2:$A$166,"&lt;"&amp;EDATE(A78,1))</f>
        <v>0</v>
      </c>
      <c r="W78" s="5"/>
      <c r="X78" s="5">
        <f>IF(MONTH('Previdência_(série)'!$A78)=1,'Previdência_(série)'!$W78,'Previdência_(série)'!$W78-W77)</f>
        <v>0</v>
      </c>
      <c r="Y78" s="5">
        <f>SUMIFS('Previdência_(série)'!$X$2:$X$166,'Previdência_(série)'!$A$2:$A$166,"&gt;"&amp;EDATE('Previdência_(série)'!$A78,-12),'Previdência_(série)'!$A$2:$A$166,"&lt;"&amp;EDATE(A78,1))</f>
        <v>0</v>
      </c>
      <c r="Z78" s="199"/>
      <c r="AA78" s="1"/>
      <c r="AB78" s="1"/>
      <c r="AC78" s="1"/>
      <c r="AD78" s="4" t="s">
        <v>590</v>
      </c>
      <c r="AE78" s="17">
        <v>41760</v>
      </c>
      <c r="AF78" s="4">
        <v>2014</v>
      </c>
    </row>
    <row ht="13.8" outlineLevel="0" r="79">
      <c r="A79" s="17">
        <v>41791</v>
      </c>
      <c r="B79" s="5">
        <v>157414796134.12</v>
      </c>
      <c r="C79" s="5">
        <f>IF(MONTH('Previdência_(série)'!$A79)=1,'Previdência_(série)'!$B79,'Previdência_(série)'!$B79-B78)</f>
        <v>26859575181.14</v>
      </c>
      <c r="D79" s="5">
        <f>SUMIFS('Previdência_(série)'!$C$2:$C$166,'Previdência_(série)'!$A$2:$A$166,"&gt;"&amp;EDATE('Previdência_(série)'!$A79,-12),'Previdência_(série)'!$A$2:$A$166,"&lt;"&amp;EDATE(A79,1))</f>
        <v>322777910843.49</v>
      </c>
      <c r="E79" s="5">
        <v>187353746197.45</v>
      </c>
      <c r="F79" s="5">
        <f>IF(MONTH('Previdência_(série)'!$A79)=1,'Previdência_(série)'!$E79,'Previdência_(série)'!$E79-E78)</f>
        <v>30273799561.95</v>
      </c>
      <c r="G79" s="5">
        <f>SUMIFS('Previdência_(série)'!$F$2:$F$166,'Previdência_(série)'!$A$2:$A$166,"&gt;"&amp;EDATE('Previdência_(série)'!$A79,-12),'Previdência_(série)'!$A$2:$A$166,"&lt;"&amp;EDATE(A79,1))</f>
        <v>374197468425.91</v>
      </c>
      <c r="H79" s="5">
        <v>12435791242.58</v>
      </c>
      <c r="I79" s="5">
        <f>IF(MONTH('Previdência_(série)'!$A79)=1,'Previdência_(série)'!$H79,'Previdência_(série)'!$H79-H78)</f>
        <v>2021456593.05</v>
      </c>
      <c r="J79" s="5">
        <f>SUMIFS('Previdência_(série)'!$I$2:$I$166,'Previdência_(série)'!$A$2:$A$166,"&gt;"&amp;EDATE('Previdência_(série)'!$A79,-12),'Previdência_(série)'!$A$2:$A$166,"&lt;"&amp;EDATE(A79,1))</f>
        <v>25594235100.23</v>
      </c>
      <c r="K79" s="5">
        <v>31530338794.69</v>
      </c>
      <c r="L79" s="5">
        <f>IF(MONTH('Previdência_(série)'!$A79)=1,'Previdência_(série)'!$K79,'Previdência_(série)'!$K79-K78)</f>
        <v>7014520465.21</v>
      </c>
      <c r="M79" s="5">
        <f>SUMIFS('Previdência_(série)'!$L$2:$L$166,'Previdência_(série)'!$A$2:$A$166,"&gt;"&amp;EDATE('Previdência_(série)'!$A79,-12),'Previdência_(série)'!$A$2:$A$166,"&lt;"&amp;EDATE(A79,1))</f>
        <v>64397962431.99</v>
      </c>
      <c r="N79" s="5">
        <v>1126004477.61</v>
      </c>
      <c r="O79" s="5">
        <f>IF(MONTH('Previdência_(série)'!$A79)=1,'Previdência_(série)'!$N79,'Previdência_(série)'!$N79-N78)</f>
        <v>202318565.49</v>
      </c>
      <c r="P79" s="5">
        <f>SUMIFS('Previdência_(série)'!$O$2:$O$166,'Previdência_(série)'!$A$2:$A$166,"&gt;"&amp;EDATE('Previdência_(série)'!$A79,-12),'Previdência_(série)'!$A$2:$A$166,"&lt;"&amp;EDATE(A79,1))</f>
        <v>2274484323.33</v>
      </c>
      <c r="Q79" s="5">
        <v>15646930916.95</v>
      </c>
      <c r="R79" s="5">
        <f>IF(MONTH('Previdência_(série)'!$A79)=1,'Previdência_(série)'!$Q79,'Previdência_(série)'!$Q79-Q78)</f>
        <v>3708986572.66</v>
      </c>
      <c r="S79" s="5">
        <f>SUMIFS('Previdência_(série)'!$R$2:$R$166,'Previdência_(série)'!$A$2:$A$166,"&gt;"&amp;EDATE('Previdência_(série)'!$A79,-12),'Previdência_(série)'!$A$2:$A$166,"&lt;"&amp;EDATE(A79,1))</f>
        <v>28302269253.06</v>
      </c>
      <c r="T79" s="5"/>
      <c r="U79" s="5">
        <f>IF(MONTH('Previdência_(série)'!$A79)=1,'Previdência_(série)'!$T79,'Previdência_(série)'!$T79-T78)</f>
        <v>0</v>
      </c>
      <c r="V79" s="5">
        <f>SUMIFS('Previdência_(série)'!$U$2:$U$166,'Previdência_(série)'!$A$2:$A$166,"&gt;"&amp;EDATE('Previdência_(série)'!$A79,-12),'Previdência_(série)'!$A$2:$A$166,"&lt;"&amp;EDATE(A79,1))</f>
        <v>0</v>
      </c>
      <c r="W79" s="5"/>
      <c r="X79" s="5">
        <f>IF(MONTH('Previdência_(série)'!$A79)=1,'Previdência_(série)'!$W79,'Previdência_(série)'!$W79-W78)</f>
        <v>0</v>
      </c>
      <c r="Y79" s="5">
        <f>SUMIFS('Previdência_(série)'!$X$2:$X$166,'Previdência_(série)'!$A$2:$A$166,"&gt;"&amp;EDATE('Previdência_(série)'!$A79,-12),'Previdência_(série)'!$A$2:$A$166,"&lt;"&amp;EDATE(A79,1))</f>
        <v>0</v>
      </c>
      <c r="Z79" s="199"/>
      <c r="AA79" s="1"/>
      <c r="AB79" s="1"/>
      <c r="AC79" s="1"/>
      <c r="AD79" s="4" t="s">
        <v>591</v>
      </c>
      <c r="AE79" s="17">
        <v>41791</v>
      </c>
      <c r="AF79" s="4">
        <v>2014</v>
      </c>
    </row>
    <row ht="13.8" outlineLevel="0" r="80">
      <c r="A80" s="17">
        <v>41821</v>
      </c>
      <c r="B80" s="5">
        <v>184256550890.29</v>
      </c>
      <c r="C80" s="5">
        <f>IF(MONTH('Previdência_(série)'!$A80)=1,'Previdência_(série)'!$B80,'Previdência_(série)'!$B80-B79)</f>
        <v>26841754756.17</v>
      </c>
      <c r="D80" s="5">
        <f>SUMIFS('Previdência_(série)'!$C$2:$C$166,'Previdência_(série)'!$A$2:$A$166,"&gt;"&amp;EDATE('Previdência_(série)'!$A80,-12),'Previdência_(série)'!$A$2:$A$166,"&lt;"&amp;EDATE(A80,1))</f>
        <v>325006676603.37</v>
      </c>
      <c r="E80" s="5">
        <v>217773533032.11</v>
      </c>
      <c r="F80" s="5">
        <f>IF(MONTH('Previdência_(série)'!$A80)=1,'Previdência_(série)'!$E80,'Previdência_(série)'!$E80-E79)</f>
        <v>30419786834.66</v>
      </c>
      <c r="G80" s="5">
        <f>SUMIFS('Previdência_(série)'!$F$2:$F$166,'Previdência_(série)'!$A$2:$A$166,"&gt;"&amp;EDATE('Previdência_(série)'!$A80,-12),'Previdência_(série)'!$A$2:$A$166,"&lt;"&amp;EDATE(A80,1))</f>
        <v>377429682888.59</v>
      </c>
      <c r="H80" s="5">
        <v>14533937604.68</v>
      </c>
      <c r="I80" s="5">
        <f>IF(MONTH('Previdência_(série)'!$A80)=1,'Previdência_(série)'!$H80,'Previdência_(série)'!$H80-H79)</f>
        <v>2098146362.1</v>
      </c>
      <c r="J80" s="5">
        <f>SUMIFS('Previdência_(série)'!$I$2:$I$166,'Previdência_(série)'!$A$2:$A$166,"&gt;"&amp;EDATE('Previdência_(série)'!$A80,-12),'Previdência_(série)'!$A$2:$A$166,"&lt;"&amp;EDATE(A80,1))</f>
        <v>25786804886.75</v>
      </c>
      <c r="K80" s="5">
        <v>36477621206.65</v>
      </c>
      <c r="L80" s="5">
        <f>IF(MONTH('Previdência_(série)'!$A80)=1,'Previdência_(série)'!$K80,'Previdência_(série)'!$K80-K79)</f>
        <v>4947282411.96</v>
      </c>
      <c r="M80" s="5">
        <f>SUMIFS('Previdência_(série)'!$L$2:$L$166,'Previdência_(série)'!$A$2:$A$166,"&gt;"&amp;EDATE('Previdência_(série)'!$A80,-12),'Previdência_(série)'!$A$2:$A$166,"&lt;"&amp;EDATE(A80,1))</f>
        <v>64362851352.06</v>
      </c>
      <c r="N80" s="5">
        <v>1379222159.14</v>
      </c>
      <c r="O80" s="5">
        <f>IF(MONTH('Previdência_(série)'!$A80)=1,'Previdência_(série)'!$N80,'Previdência_(série)'!$N80-N79)</f>
        <v>253217681.53</v>
      </c>
      <c r="P80" s="5">
        <f>SUMIFS('Previdência_(série)'!$O$2:$O$166,'Previdência_(série)'!$A$2:$A$166,"&gt;"&amp;EDATE('Previdência_(série)'!$A80,-12),'Previdência_(série)'!$A$2:$A$166,"&lt;"&amp;EDATE(A80,1))</f>
        <v>2344372017.9</v>
      </c>
      <c r="Q80" s="5">
        <v>18134967731.41</v>
      </c>
      <c r="R80" s="5">
        <f>IF(MONTH('Previdência_(série)'!$A80)=1,'Previdência_(série)'!$Q80,'Previdência_(série)'!$Q80-Q79)</f>
        <v>2488036814.46</v>
      </c>
      <c r="S80" s="5">
        <f>SUMIFS('Previdência_(série)'!$R$2:$R$166,'Previdência_(série)'!$A$2:$A$166,"&gt;"&amp;EDATE('Previdência_(série)'!$A80,-12),'Previdência_(série)'!$A$2:$A$166,"&lt;"&amp;EDATE(A80,1))</f>
        <v>28905249959.27</v>
      </c>
      <c r="T80" s="5"/>
      <c r="U80" s="5">
        <f>IF(MONTH('Previdência_(série)'!$A80)=1,'Previdência_(série)'!$T80,'Previdência_(série)'!$T80-T79)</f>
        <v>0</v>
      </c>
      <c r="V80" s="5">
        <f>SUMIFS('Previdência_(série)'!$U$2:$U$166,'Previdência_(série)'!$A$2:$A$166,"&gt;"&amp;EDATE('Previdência_(série)'!$A80,-12),'Previdência_(série)'!$A$2:$A$166,"&lt;"&amp;EDATE(A80,1))</f>
        <v>0</v>
      </c>
      <c r="W80" s="5"/>
      <c r="X80" s="5">
        <f>IF(MONTH('Previdência_(série)'!$A80)=1,'Previdência_(série)'!$W80,'Previdência_(série)'!$W80-W79)</f>
        <v>0</v>
      </c>
      <c r="Y80" s="5">
        <f>SUMIFS('Previdência_(série)'!$X$2:$X$166,'Previdência_(série)'!$A$2:$A$166,"&gt;"&amp;EDATE('Previdência_(série)'!$A80,-12),'Previdência_(série)'!$A$2:$A$166,"&lt;"&amp;EDATE(A80,1))</f>
        <v>0</v>
      </c>
      <c r="Z80" s="199"/>
      <c r="AA80" s="1"/>
      <c r="AB80" s="1"/>
      <c r="AC80" s="1"/>
      <c r="AD80" s="4" t="s">
        <v>592</v>
      </c>
      <c r="AE80" s="17">
        <v>41821</v>
      </c>
      <c r="AF80" s="4">
        <v>2014</v>
      </c>
    </row>
    <row ht="13.8" outlineLevel="0" r="81">
      <c r="A81" s="17">
        <v>41852</v>
      </c>
      <c r="B81" s="5">
        <v>212059452133.8</v>
      </c>
      <c r="C81" s="5">
        <f>IF(MONTH('Previdência_(série)'!$A81)=1,'Previdência_(série)'!$B81,'Previdência_(série)'!$B81-B80)</f>
        <v>27802901243.51</v>
      </c>
      <c r="D81" s="5">
        <f>SUMIFS('Previdência_(série)'!$C$2:$C$166,'Previdência_(série)'!$A$2:$A$166,"&gt;"&amp;EDATE('Previdência_(série)'!$A81,-12),'Previdência_(série)'!$A$2:$A$166,"&lt;"&amp;EDATE(A81,1))</f>
        <v>327890623513.62</v>
      </c>
      <c r="E81" s="5">
        <v>262038266550.18</v>
      </c>
      <c r="F81" s="5">
        <f>IF(MONTH('Previdência_(série)'!$A81)=1,'Previdência_(série)'!$E81,'Previdência_(série)'!$E81-E80)</f>
        <v>44264733518.07</v>
      </c>
      <c r="G81" s="5">
        <f>SUMIFS('Previdência_(série)'!$F$2:$F$166,'Previdência_(série)'!$A$2:$A$166,"&gt;"&amp;EDATE('Previdência_(série)'!$A81,-12),'Previdência_(série)'!$A$2:$A$166,"&lt;"&amp;EDATE(A81,1))</f>
        <v>379668825733.87</v>
      </c>
      <c r="H81" s="5">
        <v>16583993023.16</v>
      </c>
      <c r="I81" s="5">
        <f>IF(MONTH('Previdência_(série)'!$A81)=1,'Previdência_(série)'!$H81,'Previdência_(série)'!$H81-H80)</f>
        <v>2050055418.48</v>
      </c>
      <c r="J81" s="5">
        <f>SUMIFS('Previdência_(série)'!$I$2:$I$166,'Previdência_(série)'!$A$2:$A$166,"&gt;"&amp;EDATE('Previdência_(série)'!$A81,-12),'Previdência_(série)'!$A$2:$A$166,"&lt;"&amp;EDATE(A81,1))</f>
        <v>25943538781.77</v>
      </c>
      <c r="K81" s="5">
        <v>41456635762.48</v>
      </c>
      <c r="L81" s="5">
        <f>IF(MONTH('Previdência_(série)'!$A81)=1,'Previdência_(série)'!$K81,'Previdência_(série)'!$K81-K80)</f>
        <v>4979014555.83</v>
      </c>
      <c r="M81" s="5">
        <f>SUMIFS('Previdência_(série)'!$L$2:$L$166,'Previdência_(série)'!$A$2:$A$166,"&gt;"&amp;EDATE('Previdência_(série)'!$A81,-12),'Previdência_(série)'!$A$2:$A$166,"&lt;"&amp;EDATE(A81,1))</f>
        <v>64314492419.14</v>
      </c>
      <c r="N81" s="5">
        <v>1530590233.06</v>
      </c>
      <c r="O81" s="5">
        <f>IF(MONTH('Previdência_(série)'!$A81)=1,'Previdência_(série)'!$N81,'Previdência_(série)'!$N81-N80)</f>
        <v>151368073.92</v>
      </c>
      <c r="P81" s="5">
        <f>SUMIFS('Previdência_(série)'!$O$2:$O$166,'Previdência_(série)'!$A$2:$A$166,"&gt;"&amp;EDATE('Previdência_(série)'!$A81,-12),'Previdência_(série)'!$A$2:$A$166,"&lt;"&amp;EDATE(A81,1))</f>
        <v>2312357045.28</v>
      </c>
      <c r="Q81" s="5">
        <v>20624717594.88</v>
      </c>
      <c r="R81" s="5">
        <f>IF(MONTH('Previdência_(série)'!$A81)=1,'Previdência_(série)'!$Q81,'Previdência_(série)'!$Q81-Q80)</f>
        <v>2489749863.47</v>
      </c>
      <c r="S81" s="5">
        <f>SUMIFS('Previdência_(série)'!$R$2:$R$166,'Previdência_(série)'!$A$2:$A$166,"&gt;"&amp;EDATE('Previdência_(série)'!$A81,-12),'Previdência_(série)'!$A$2:$A$166,"&lt;"&amp;EDATE(A81,1))</f>
        <v>29468872191.4</v>
      </c>
      <c r="T81" s="5"/>
      <c r="U81" s="5">
        <f>IF(MONTH('Previdência_(série)'!$A81)=1,'Previdência_(série)'!$T81,'Previdência_(série)'!$T81-T80)</f>
        <v>0</v>
      </c>
      <c r="V81" s="5">
        <f>SUMIFS('Previdência_(série)'!$U$2:$U$166,'Previdência_(série)'!$A$2:$A$166,"&gt;"&amp;EDATE('Previdência_(série)'!$A81,-12),'Previdência_(série)'!$A$2:$A$166,"&lt;"&amp;EDATE(A81,1))</f>
        <v>0</v>
      </c>
      <c r="W81" s="5"/>
      <c r="X81" s="5">
        <f>IF(MONTH('Previdência_(série)'!$A81)=1,'Previdência_(série)'!$W81,'Previdência_(série)'!$W81-W80)</f>
        <v>0</v>
      </c>
      <c r="Y81" s="5">
        <f>SUMIFS('Previdência_(série)'!$X$2:$X$166,'Previdência_(série)'!$A$2:$A$166,"&gt;"&amp;EDATE('Previdência_(série)'!$A81,-12),'Previdência_(série)'!$A$2:$A$166,"&lt;"&amp;EDATE(A81,1))</f>
        <v>0</v>
      </c>
      <c r="Z81" s="199"/>
      <c r="AA81" s="1"/>
      <c r="AB81" s="1"/>
      <c r="AC81" s="1"/>
      <c r="AD81" s="4" t="s">
        <v>593</v>
      </c>
      <c r="AE81" s="17">
        <v>41852</v>
      </c>
      <c r="AF81" s="4">
        <v>2014</v>
      </c>
    </row>
    <row ht="13.8" outlineLevel="0" r="82">
      <c r="A82" s="17">
        <v>41883</v>
      </c>
      <c r="B82" s="5">
        <v>239626882108.94</v>
      </c>
      <c r="C82" s="5">
        <f>IF(MONTH('Previdência_(série)'!$A82)=1,'Previdência_(série)'!$B82,'Previdência_(série)'!$B82-B81)</f>
        <v>27567429975.14</v>
      </c>
      <c r="D82" s="5">
        <f>SUMIFS('Previdência_(série)'!$C$2:$C$166,'Previdência_(série)'!$A$2:$A$166,"&gt;"&amp;EDATE('Previdência_(série)'!$A82,-12),'Previdência_(série)'!$A$2:$A$166,"&lt;"&amp;EDATE(A82,1))</f>
        <v>330464737908.57</v>
      </c>
      <c r="E82" s="5">
        <v>292814840469.67</v>
      </c>
      <c r="F82" s="5">
        <f>IF(MONTH('Previdência_(série)'!$A82)=1,'Previdência_(série)'!$E82,'Previdência_(série)'!$E82-E81)</f>
        <v>30776573919.49</v>
      </c>
      <c r="G82" s="5">
        <f>SUMIFS('Previdência_(série)'!$F$2:$F$166,'Previdência_(série)'!$A$2:$A$166,"&gt;"&amp;EDATE('Previdência_(série)'!$A82,-12),'Previdência_(série)'!$A$2:$A$166,"&lt;"&amp;EDATE(A82,1))</f>
        <v>382810801711.06</v>
      </c>
      <c r="H82" s="5">
        <v>18638836426.21</v>
      </c>
      <c r="I82" s="5">
        <f>IF(MONTH('Previdência_(série)'!$A82)=1,'Previdência_(série)'!$H82,'Previdência_(série)'!$H82-H81)</f>
        <v>2054843403.05</v>
      </c>
      <c r="J82" s="5">
        <f>SUMIFS('Previdência_(série)'!$I$2:$I$166,'Previdência_(série)'!$A$2:$A$166,"&gt;"&amp;EDATE('Previdência_(série)'!$A82,-12),'Previdência_(série)'!$A$2:$A$166,"&lt;"&amp;EDATE(A82,1))</f>
        <v>26058716486.55</v>
      </c>
      <c r="K82" s="5">
        <v>46562615772.48</v>
      </c>
      <c r="L82" s="5">
        <f>IF(MONTH('Previdência_(série)'!$A82)=1,'Previdência_(série)'!$K82,'Previdência_(série)'!$K82-K81)</f>
        <v>5105980010</v>
      </c>
      <c r="M82" s="5">
        <f>SUMIFS('Previdência_(série)'!$L$2:$L$166,'Previdência_(série)'!$A$2:$A$166,"&gt;"&amp;EDATE('Previdência_(série)'!$A82,-12),'Previdência_(série)'!$A$2:$A$166,"&lt;"&amp;EDATE(A82,1))</f>
        <v>64441954221.19</v>
      </c>
      <c r="N82" s="5">
        <v>1735564519.75</v>
      </c>
      <c r="O82" s="5">
        <f>IF(MONTH('Previdência_(série)'!$A82)=1,'Previdência_(série)'!$N82,'Previdência_(série)'!$N82-N81)</f>
        <v>204974286.69</v>
      </c>
      <c r="P82" s="5">
        <f>SUMIFS('Previdência_(série)'!$O$2:$O$166,'Previdência_(série)'!$A$2:$A$166,"&gt;"&amp;EDATE('Previdência_(série)'!$A82,-12),'Previdência_(série)'!$A$2:$A$166,"&lt;"&amp;EDATE(A82,1))</f>
        <v>2333316953.43</v>
      </c>
      <c r="Q82" s="5">
        <v>23123218977.02</v>
      </c>
      <c r="R82" s="5">
        <f>IF(MONTH('Previdência_(série)'!$A82)=1,'Previdência_(série)'!$Q82,'Previdência_(série)'!$Q82-Q81)</f>
        <v>2498501382.14</v>
      </c>
      <c r="S82" s="5">
        <f>SUMIFS('Previdência_(série)'!$R$2:$R$166,'Previdência_(série)'!$A$2:$A$166,"&gt;"&amp;EDATE('Previdência_(série)'!$A82,-12),'Previdência_(série)'!$A$2:$A$166,"&lt;"&amp;EDATE(A82,1))</f>
        <v>30038437110.84</v>
      </c>
      <c r="T82" s="5"/>
      <c r="U82" s="5">
        <f>IF(MONTH('Previdência_(série)'!$A82)=1,'Previdência_(série)'!$T82,'Previdência_(série)'!$T82-T81)</f>
        <v>0</v>
      </c>
      <c r="V82" s="5">
        <f>SUMIFS('Previdência_(série)'!$U$2:$U$166,'Previdência_(série)'!$A$2:$A$166,"&gt;"&amp;EDATE('Previdência_(série)'!$A82,-12),'Previdência_(série)'!$A$2:$A$166,"&lt;"&amp;EDATE(A82,1))</f>
        <v>0</v>
      </c>
      <c r="W82" s="5"/>
      <c r="X82" s="5">
        <f>IF(MONTH('Previdência_(série)'!$A82)=1,'Previdência_(série)'!$W82,'Previdência_(série)'!$W82-W81)</f>
        <v>0</v>
      </c>
      <c r="Y82" s="5">
        <f>SUMIFS('Previdência_(série)'!$X$2:$X$166,'Previdência_(série)'!$A$2:$A$166,"&gt;"&amp;EDATE('Previdência_(série)'!$A82,-12),'Previdência_(série)'!$A$2:$A$166,"&lt;"&amp;EDATE(A82,1))</f>
        <v>0</v>
      </c>
      <c r="Z82" s="199"/>
      <c r="AA82" s="1"/>
      <c r="AB82" s="1"/>
      <c r="AC82" s="1"/>
      <c r="AD82" s="4" t="s">
        <v>594</v>
      </c>
      <c r="AE82" s="17">
        <v>41883</v>
      </c>
      <c r="AF82" s="4">
        <v>2014</v>
      </c>
    </row>
    <row ht="13.8" outlineLevel="0" r="83">
      <c r="A83" s="17">
        <v>41913</v>
      </c>
      <c r="B83" s="5">
        <v>267217674317.05</v>
      </c>
      <c r="C83" s="5">
        <f>IF(MONTH('Previdência_(série)'!$A83)=1,'Previdência_(série)'!$B83,'Previdência_(série)'!$B83-B82)</f>
        <v>27590792208.11</v>
      </c>
      <c r="D83" s="5">
        <f>SUMIFS('Previdência_(série)'!$C$2:$C$166,'Previdência_(série)'!$A$2:$A$166,"&gt;"&amp;EDATE('Previdência_(série)'!$A83,-12),'Previdência_(série)'!$A$2:$A$166,"&lt;"&amp;EDATE(A83,1))</f>
        <v>332622385559.28</v>
      </c>
      <c r="E83" s="5">
        <v>326075763002.79</v>
      </c>
      <c r="F83" s="5">
        <f>IF(MONTH('Previdência_(série)'!$A83)=1,'Previdência_(série)'!$E83,'Previdência_(série)'!$E83-E82)</f>
        <v>33260922533.1201</v>
      </c>
      <c r="G83" s="5">
        <f>SUMIFS('Previdência_(série)'!$F$2:$F$166,'Previdência_(série)'!$A$2:$A$166,"&gt;"&amp;EDATE('Previdência_(série)'!$A83,-12),'Previdência_(série)'!$A$2:$A$166,"&lt;"&amp;EDATE(A83,1))</f>
        <v>388233167878.09</v>
      </c>
      <c r="H83" s="5">
        <v>20759047378.96</v>
      </c>
      <c r="I83" s="5">
        <f>IF(MONTH('Previdência_(série)'!$A83)=1,'Previdência_(série)'!$H83,'Previdência_(série)'!$H83-H82)</f>
        <v>2120210952.75</v>
      </c>
      <c r="J83" s="5">
        <f>SUMIFS('Previdência_(série)'!$I$2:$I$166,'Previdência_(série)'!$A$2:$A$166,"&gt;"&amp;EDATE('Previdência_(série)'!$A83,-12),'Previdência_(série)'!$A$2:$A$166,"&lt;"&amp;EDATE(A83,1))</f>
        <v>26300180668.4</v>
      </c>
      <c r="K83" s="5">
        <v>51741682778.16</v>
      </c>
      <c r="L83" s="5">
        <f>IF(MONTH('Previdência_(série)'!$A83)=1,'Previdência_(série)'!$K83,'Previdência_(série)'!$K83-K82)</f>
        <v>5179067005.67999</v>
      </c>
      <c r="M83" s="5">
        <f>SUMIFS('Previdência_(série)'!$L$2:$L$166,'Previdência_(série)'!$A$2:$A$166,"&gt;"&amp;EDATE('Previdência_(série)'!$A83,-12),'Previdência_(série)'!$A$2:$A$166,"&lt;"&amp;EDATE(A83,1))</f>
        <v>64629871929.37</v>
      </c>
      <c r="N83" s="5">
        <v>1938595570.57</v>
      </c>
      <c r="O83" s="5">
        <f>IF(MONTH('Previdência_(série)'!$A83)=1,'Previdência_(série)'!$N83,'Previdência_(série)'!$N83-N82)</f>
        <v>203031050.82</v>
      </c>
      <c r="P83" s="5">
        <f>SUMIFS('Previdência_(série)'!$O$2:$O$166,'Previdência_(série)'!$A$2:$A$166,"&gt;"&amp;EDATE('Previdência_(série)'!$A83,-12),'Previdência_(série)'!$A$2:$A$166,"&lt;"&amp;EDATE(A83,1))</f>
        <v>2352574540.76</v>
      </c>
      <c r="Q83" s="5">
        <v>25622338591.89</v>
      </c>
      <c r="R83" s="5">
        <f>IF(MONTH('Previdência_(série)'!$A83)=1,'Previdência_(série)'!$Q83,'Previdência_(série)'!$Q83-Q82)</f>
        <v>2499119614.87</v>
      </c>
      <c r="S83" s="5">
        <f>SUMIFS('Previdência_(série)'!$R$2:$R$166,'Previdência_(série)'!$A$2:$A$166,"&gt;"&amp;EDATE('Previdência_(série)'!$A83,-12),'Previdência_(série)'!$A$2:$A$166,"&lt;"&amp;EDATE(A83,1))</f>
        <v>30605645529.9</v>
      </c>
      <c r="T83" s="5"/>
      <c r="U83" s="5">
        <f>IF(MONTH('Previdência_(série)'!$A83)=1,'Previdência_(série)'!$T83,'Previdência_(série)'!$T83-T82)</f>
        <v>0</v>
      </c>
      <c r="V83" s="5">
        <f>SUMIFS('Previdência_(série)'!$U$2:$U$166,'Previdência_(série)'!$A$2:$A$166,"&gt;"&amp;EDATE('Previdência_(série)'!$A83,-12),'Previdência_(série)'!$A$2:$A$166,"&lt;"&amp;EDATE(A83,1))</f>
        <v>0</v>
      </c>
      <c r="W83" s="5"/>
      <c r="X83" s="5">
        <f>IF(MONTH('Previdência_(série)'!$A83)=1,'Previdência_(série)'!$W83,'Previdência_(série)'!$W83-W82)</f>
        <v>0</v>
      </c>
      <c r="Y83" s="5">
        <f>SUMIFS('Previdência_(série)'!$X$2:$X$166,'Previdência_(série)'!$A$2:$A$166,"&gt;"&amp;EDATE('Previdência_(série)'!$A83,-12),'Previdência_(série)'!$A$2:$A$166,"&lt;"&amp;EDATE(A83,1))</f>
        <v>0</v>
      </c>
      <c r="Z83" s="199"/>
      <c r="AA83" s="1"/>
      <c r="AB83" s="1"/>
      <c r="AC83" s="1"/>
      <c r="AD83" s="4" t="s">
        <v>595</v>
      </c>
      <c r="AE83" s="17">
        <v>41913</v>
      </c>
      <c r="AF83" s="4">
        <v>2014</v>
      </c>
    </row>
    <row ht="13.8" outlineLevel="0" r="84">
      <c r="A84" s="17">
        <v>41944</v>
      </c>
      <c r="B84" s="5">
        <v>295918952324.46</v>
      </c>
      <c r="C84" s="5">
        <f>IF(MONTH('Previdência_(série)'!$A84)=1,'Previdência_(série)'!$B84,'Previdência_(série)'!$B84-B83)</f>
        <v>28701278007.41</v>
      </c>
      <c r="D84" s="5">
        <f>SUMIFS('Previdência_(série)'!$C$2:$C$166,'Previdência_(série)'!$A$2:$A$166,"&gt;"&amp;EDATE('Previdência_(série)'!$A84,-12),'Previdência_(série)'!$A$2:$A$166,"&lt;"&amp;EDATE(A84,1))</f>
        <v>335617830341.34</v>
      </c>
      <c r="E84" s="5">
        <v>370731255816.82</v>
      </c>
      <c r="F84" s="5">
        <f>IF(MONTH('Previdência_(série)'!$A84)=1,'Previdência_(série)'!$E84,'Previdência_(série)'!$E84-E83)</f>
        <v>44655492814.03</v>
      </c>
      <c r="G84" s="5">
        <f>SUMIFS('Previdência_(série)'!$F$2:$F$166,'Previdência_(série)'!$A$2:$A$166,"&gt;"&amp;EDATE('Previdência_(série)'!$A84,-12),'Previdência_(série)'!$A$2:$A$166,"&lt;"&amp;EDATE(A84,1))</f>
        <v>392236216034.59</v>
      </c>
      <c r="H84" s="5">
        <v>24548401057.8</v>
      </c>
      <c r="I84" s="5">
        <f>IF(MONTH('Previdência_(série)'!$A84)=1,'Previdência_(série)'!$H84,'Previdência_(série)'!$H84-H83)</f>
        <v>3789353678.84</v>
      </c>
      <c r="J84" s="5">
        <f>SUMIFS('Previdência_(série)'!$I$2:$I$166,'Previdência_(série)'!$A$2:$A$166,"&gt;"&amp;EDATE('Previdência_(série)'!$A84,-12),'Previdência_(série)'!$A$2:$A$166,"&lt;"&amp;EDATE(A84,1))</f>
        <v>26553507003.18</v>
      </c>
      <c r="K84" s="5">
        <v>59091100586.6</v>
      </c>
      <c r="L84" s="5">
        <f>IF(MONTH('Previdência_(série)'!$A84)=1,'Previdência_(série)'!$K84,'Previdência_(série)'!$K84-K83)</f>
        <v>7349417808.44</v>
      </c>
      <c r="M84" s="5">
        <f>SUMIFS('Previdência_(série)'!$L$2:$L$166,'Previdência_(série)'!$A$2:$A$166,"&gt;"&amp;EDATE('Previdência_(série)'!$A84,-12),'Previdência_(série)'!$A$2:$A$166,"&lt;"&amp;EDATE(A84,1))</f>
        <v>64814519355.93</v>
      </c>
      <c r="N84" s="5">
        <v>2141641946.9</v>
      </c>
      <c r="O84" s="5">
        <f>IF(MONTH('Previdência_(série)'!$A84)=1,'Previdência_(série)'!$N84,'Previdência_(série)'!$N84-N83)</f>
        <v>203046376.33</v>
      </c>
      <c r="P84" s="5">
        <f>SUMIFS('Previdência_(série)'!$O$2:$O$166,'Previdência_(série)'!$A$2:$A$166,"&gt;"&amp;EDATE('Previdência_(série)'!$A84,-12),'Previdência_(série)'!$A$2:$A$166,"&lt;"&amp;EDATE(A84,1))</f>
        <v>2372094689.25</v>
      </c>
      <c r="Q84" s="5">
        <v>29352317943.14</v>
      </c>
      <c r="R84" s="5">
        <f>IF(MONTH('Previdência_(série)'!$A84)=1,'Previdência_(série)'!$Q84,'Previdência_(série)'!$Q84-Q83)</f>
        <v>3729979351.25</v>
      </c>
      <c r="S84" s="5">
        <f>SUMIFS('Previdência_(série)'!$R$2:$R$166,'Previdência_(série)'!$A$2:$A$166,"&gt;"&amp;EDATE('Previdência_(série)'!$A84,-12),'Previdência_(série)'!$A$2:$A$166,"&lt;"&amp;EDATE(A84,1))</f>
        <v>31283406547.78</v>
      </c>
      <c r="T84" s="5"/>
      <c r="U84" s="5">
        <f>IF(MONTH('Previdência_(série)'!$A84)=1,'Previdência_(série)'!$T84,'Previdência_(série)'!$T84-T83)</f>
        <v>0</v>
      </c>
      <c r="V84" s="5">
        <f>SUMIFS('Previdência_(série)'!$U$2:$U$166,'Previdência_(série)'!$A$2:$A$166,"&gt;"&amp;EDATE('Previdência_(série)'!$A84,-12),'Previdência_(série)'!$A$2:$A$166,"&lt;"&amp;EDATE(A84,1))</f>
        <v>0</v>
      </c>
      <c r="W84" s="5"/>
      <c r="X84" s="5">
        <f>IF(MONTH('Previdência_(série)'!$A84)=1,'Previdência_(série)'!$W84,'Previdência_(série)'!$W84-W83)</f>
        <v>0</v>
      </c>
      <c r="Y84" s="5">
        <f>SUMIFS('Previdência_(série)'!$X$2:$X$166,'Previdência_(série)'!$A$2:$A$166,"&gt;"&amp;EDATE('Previdência_(série)'!$A84,-12),'Previdência_(série)'!$A$2:$A$166,"&lt;"&amp;EDATE(A84,1))</f>
        <v>0</v>
      </c>
      <c r="Z84" s="199"/>
      <c r="AA84" s="1"/>
      <c r="AB84" s="1"/>
      <c r="AC84" s="1"/>
      <c r="AD84" s="4" t="s">
        <v>596</v>
      </c>
      <c r="AE84" s="17">
        <v>41944</v>
      </c>
      <c r="AF84" s="4">
        <v>2014</v>
      </c>
    </row>
    <row ht="13.8" outlineLevel="0" r="85">
      <c r="A85" s="17">
        <v>41974</v>
      </c>
      <c r="B85" s="5">
        <v>337554637045.34</v>
      </c>
      <c r="C85" s="5">
        <f>IF(MONTH('Previdência_(série)'!$A85)=1,'Previdência_(série)'!$B85,'Previdência_(série)'!$B85-B84)</f>
        <v>41635684720.8799</v>
      </c>
      <c r="D85" s="5">
        <f>SUMIFS('Previdência_(série)'!$C$2:$C$166,'Previdência_(série)'!$A$2:$A$166,"&gt;"&amp;EDATE('Previdência_(série)'!$A85,-12),'Previdência_(série)'!$A$2:$A$166,"&lt;"&amp;EDATE(A85,1))</f>
        <v>337554637045.34</v>
      </c>
      <c r="E85" s="5">
        <v>402087195681.25</v>
      </c>
      <c r="F85" s="5">
        <f>IF(MONTH('Previdência_(série)'!$A85)=1,'Previdência_(série)'!$E85,'Previdência_(série)'!$E85-E84)</f>
        <v>31355939864.43</v>
      </c>
      <c r="G85" s="5">
        <f>SUMIFS('Previdência_(série)'!$F$2:$F$166,'Previdência_(série)'!$A$2:$A$166,"&gt;"&amp;EDATE('Previdência_(série)'!$A85,-12),'Previdência_(série)'!$A$2:$A$166,"&lt;"&amp;EDATE(A85,1))</f>
        <v>402087195681.25</v>
      </c>
      <c r="H85" s="5">
        <v>26935134227.76</v>
      </c>
      <c r="I85" s="5">
        <f>IF(MONTH('Previdência_(série)'!$A85)=1,'Previdência_(série)'!$H85,'Previdência_(série)'!$H85-H84)</f>
        <v>2386733169.96</v>
      </c>
      <c r="J85" s="5">
        <f>SUMIFS('Previdência_(série)'!$I$2:$I$166,'Previdência_(série)'!$A$2:$A$166,"&gt;"&amp;EDATE('Previdência_(série)'!$A85,-12),'Previdência_(série)'!$A$2:$A$166,"&lt;"&amp;EDATE(A85,1))</f>
        <v>26935134227.76</v>
      </c>
      <c r="K85" s="5">
        <v>64377733167.43</v>
      </c>
      <c r="L85" s="5">
        <f>IF(MONTH('Previdência_(série)'!$A85)=1,'Previdência_(série)'!$K85,'Previdência_(série)'!$K85-K84)</f>
        <v>5286632580.83</v>
      </c>
      <c r="M85" s="5">
        <f>SUMIFS('Previdência_(série)'!$L$2:$L$166,'Previdência_(série)'!$A$2:$A$166,"&gt;"&amp;EDATE('Previdência_(série)'!$A85,-12),'Previdência_(série)'!$A$2:$A$166,"&lt;"&amp;EDATE(A85,1))</f>
        <v>64377733167.43</v>
      </c>
      <c r="N85" s="5">
        <v>2343239613.42</v>
      </c>
      <c r="O85" s="5">
        <f>IF(MONTH('Previdência_(série)'!$A85)=1,'Previdência_(série)'!$N85,'Previdência_(série)'!$N85-N84)</f>
        <v>201597666.52</v>
      </c>
      <c r="P85" s="5">
        <f>SUMIFS('Previdência_(série)'!$O$2:$O$166,'Previdência_(série)'!$A$2:$A$166,"&gt;"&amp;EDATE('Previdência_(série)'!$A85,-12),'Previdência_(série)'!$A$2:$A$166,"&lt;"&amp;EDATE(A85,1))</f>
        <v>2343239613.42</v>
      </c>
      <c r="Q85" s="5">
        <v>31848796517.76</v>
      </c>
      <c r="R85" s="5">
        <f>IF(MONTH('Previdência_(série)'!$A85)=1,'Previdência_(série)'!$Q85,'Previdência_(série)'!$Q85-Q84)</f>
        <v>2496478574.62</v>
      </c>
      <c r="S85" s="5">
        <f>SUMIFS('Previdência_(série)'!$R$2:$R$166,'Previdência_(série)'!$A$2:$A$166,"&gt;"&amp;EDATE('Previdência_(série)'!$A85,-12),'Previdência_(série)'!$A$2:$A$166,"&lt;"&amp;EDATE(A85,1))</f>
        <v>31848796517.76</v>
      </c>
      <c r="T85" s="5"/>
      <c r="U85" s="5">
        <f>IF(MONTH('Previdência_(série)'!$A85)=1,'Previdência_(série)'!$T85,'Previdência_(série)'!$T85-T84)</f>
        <v>0</v>
      </c>
      <c r="V85" s="5">
        <f>SUMIFS('Previdência_(série)'!$U$2:$U$166,'Previdência_(série)'!$A$2:$A$166,"&gt;"&amp;EDATE('Previdência_(série)'!$A85,-12),'Previdência_(série)'!$A$2:$A$166,"&lt;"&amp;EDATE(A85,1))</f>
        <v>0</v>
      </c>
      <c r="W85" s="5"/>
      <c r="X85" s="5">
        <f>IF(MONTH('Previdência_(série)'!$A85)=1,'Previdência_(série)'!$W85,'Previdência_(série)'!$W85-W84)</f>
        <v>0</v>
      </c>
      <c r="Y85" s="5">
        <f>SUMIFS('Previdência_(série)'!$X$2:$X$166,'Previdência_(série)'!$A$2:$A$166,"&gt;"&amp;EDATE('Previdência_(série)'!$A85,-12),'Previdência_(série)'!$A$2:$A$166,"&lt;"&amp;EDATE(A85,1))</f>
        <v>0</v>
      </c>
      <c r="Z85" s="199"/>
      <c r="AA85" s="1"/>
      <c r="AB85" s="1"/>
      <c r="AC85" s="1"/>
      <c r="AD85" s="4" t="s">
        <v>597</v>
      </c>
      <c r="AE85" s="17">
        <v>41974</v>
      </c>
      <c r="AF85" s="4">
        <v>2014</v>
      </c>
    </row>
    <row ht="13.8" outlineLevel="0" r="86">
      <c r="A86" s="17">
        <v>42005</v>
      </c>
      <c r="B86" s="5">
        <v>27989036162.04</v>
      </c>
      <c r="C86" s="5">
        <f>IF(MONTH('Previdência_(série)'!$A86)=1,'Previdência_(série)'!$B86,'Previdência_(série)'!$B86-B85)</f>
        <v>27989036162.04</v>
      </c>
      <c r="D86" s="5">
        <f>SUMIFS('Previdência_(série)'!$C$2:$C$166,'Previdência_(série)'!$A$2:$A$166,"&gt;"&amp;EDATE('Previdência_(série)'!$A86,-12),'Previdência_(série)'!$A$2:$A$166,"&lt;"&amp;EDATE(A86,1))</f>
        <v>338815347978.46</v>
      </c>
      <c r="E86" s="5">
        <v>34412399603.12</v>
      </c>
      <c r="F86" s="5">
        <f>IF(MONTH('Previdência_(série)'!$A86)=1,'Previdência_(série)'!$E86,'Previdência_(série)'!$E86-E85)</f>
        <v>34412399603.12</v>
      </c>
      <c r="G86" s="5">
        <f>SUMIFS('Previdência_(série)'!$F$2:$F$166,'Previdência_(série)'!$A$2:$A$166,"&gt;"&amp;EDATE('Previdência_(série)'!$A86,-12),'Previdência_(série)'!$A$2:$A$166,"&lt;"&amp;EDATE(A86,1))</f>
        <v>399365105923.86</v>
      </c>
      <c r="H86" s="5">
        <v>2411313356.04</v>
      </c>
      <c r="I86" s="5">
        <f>IF(MONTH('Previdência_(série)'!$A86)=1,'Previdência_(série)'!$H86,'Previdência_(série)'!$H86-H85)</f>
        <v>2411313356.04</v>
      </c>
      <c r="J86" s="5">
        <f>SUMIFS('Previdência_(série)'!$I$2:$I$166,'Previdência_(série)'!$A$2:$A$166,"&gt;"&amp;EDATE('Previdência_(série)'!$A86,-12),'Previdência_(série)'!$A$2:$A$166,"&lt;"&amp;EDATE(A86,1))</f>
        <v>27104611066.73</v>
      </c>
      <c r="K86" s="5">
        <v>5300507720.76</v>
      </c>
      <c r="L86" s="5">
        <f>IF(MONTH('Previdência_(série)'!$A86)=1,'Previdência_(série)'!$K86,'Previdência_(série)'!$K86-K85)</f>
        <v>5300507720.76</v>
      </c>
      <c r="M86" s="5">
        <f>SUMIFS('Previdência_(série)'!$L$2:$L$166,'Previdência_(série)'!$A$2:$A$166,"&gt;"&amp;EDATE('Previdência_(série)'!$A86,-12),'Previdência_(série)'!$A$2:$A$166,"&lt;"&amp;EDATE(A86,1))</f>
        <v>64735884548.19</v>
      </c>
      <c r="N86" s="5">
        <v>152760753.2</v>
      </c>
      <c r="O86" s="5">
        <f>IF(MONTH('Previdência_(série)'!$A86)=1,'Previdência_(série)'!$N86,'Previdência_(série)'!$N86-N85)</f>
        <v>152760753.2</v>
      </c>
      <c r="P86" s="5">
        <f>SUMIFS('Previdência_(série)'!$O$2:$O$166,'Previdência_(série)'!$A$2:$A$166,"&gt;"&amp;EDATE('Previdência_(série)'!$A86,-12),'Previdência_(série)'!$A$2:$A$166,"&lt;"&amp;EDATE(A86,1))</f>
        <v>2358105345.45</v>
      </c>
      <c r="Q86" s="5">
        <v>2483855588.82</v>
      </c>
      <c r="R86" s="5">
        <f>IF(MONTH('Previdência_(série)'!$A86)=1,'Previdência_(série)'!$Q86,'Previdência_(série)'!$Q86-Q85)</f>
        <v>2483855588.82</v>
      </c>
      <c r="S86" s="5">
        <f>SUMIFS('Previdência_(série)'!$R$2:$R$166,'Previdência_(série)'!$A$2:$A$166,"&gt;"&amp;EDATE('Previdência_(série)'!$A86,-12),'Previdência_(série)'!$A$2:$A$166,"&lt;"&amp;EDATE(A86,1))</f>
        <v>32071064616.48</v>
      </c>
      <c r="T86" s="5"/>
      <c r="U86" s="5" t="s">
        <f>IF(MONTH('Previdência_(série)'!$A86)=1,'Previdência_(série)'!$T86,'Previdência_(série)'!$T86-T85)</f>
      </c>
      <c r="V86" s="5">
        <f>SUMIFS('Previdência_(série)'!$U$2:$U$166,'Previdência_(série)'!$A$2:$A$166,"&gt;"&amp;EDATE('Previdência_(série)'!$A86,-12),'Previdência_(série)'!$A$2:$A$166,"&lt;"&amp;EDATE(A86,1))</f>
        <v>0</v>
      </c>
      <c r="W86" s="5"/>
      <c r="X86" s="5" t="s">
        <f>IF(MONTH('Previdência_(série)'!$A86)=1,'Previdência_(série)'!$W86,'Previdência_(série)'!$W86-W85)</f>
      </c>
      <c r="Y86" s="5">
        <f>SUMIFS('Previdência_(série)'!$X$2:$X$166,'Previdência_(série)'!$A$2:$A$166,"&gt;"&amp;EDATE('Previdência_(série)'!$A86,-12),'Previdência_(série)'!$A$2:$A$166,"&lt;"&amp;EDATE(A86,1))</f>
        <v>0</v>
      </c>
      <c r="Z86" s="199"/>
      <c r="AA86" s="1"/>
      <c r="AB86" s="1"/>
      <c r="AC86" s="1"/>
      <c r="AD86" s="4" t="s">
        <v>586</v>
      </c>
      <c r="AE86" s="17">
        <v>42005</v>
      </c>
      <c r="AF86" s="4">
        <v>2015</v>
      </c>
    </row>
    <row ht="13.8" outlineLevel="0" r="87">
      <c r="A87" s="17">
        <v>42036</v>
      </c>
      <c r="B87" s="5">
        <v>55084994527.91</v>
      </c>
      <c r="C87" s="5">
        <f>IF(MONTH('Previdência_(série)'!$A87)=1,'Previdência_(série)'!$B87,'Previdência_(série)'!$B87-B86)</f>
        <v>27095958365.87</v>
      </c>
      <c r="D87" s="5">
        <f>SUMIFS('Previdência_(série)'!$C$2:$C$166,'Previdência_(série)'!$A$2:$A$166,"&gt;"&amp;EDATE('Previdência_(série)'!$A87,-12),'Previdência_(série)'!$A$2:$A$166,"&lt;"&amp;EDATE(A87,1))</f>
        <v>340523201908.34</v>
      </c>
      <c r="E87" s="5">
        <v>67486933989.36</v>
      </c>
      <c r="F87" s="5">
        <f>IF(MONTH('Previdência_(série)'!$A87)=1,'Previdência_(série)'!$E87,'Previdência_(série)'!$E87-E86)</f>
        <v>33074534386.24</v>
      </c>
      <c r="G87" s="5">
        <f>SUMIFS('Previdência_(série)'!$F$2:$F$166,'Previdência_(série)'!$A$2:$A$166,"&gt;"&amp;EDATE('Previdência_(série)'!$A87,-12),'Previdência_(série)'!$A$2:$A$166,"&lt;"&amp;EDATE(A87,1))</f>
        <v>402763079914.31</v>
      </c>
      <c r="H87" s="5">
        <v>4586830904.32</v>
      </c>
      <c r="I87" s="5">
        <f>IF(MONTH('Previdência_(série)'!$A87)=1,'Previdência_(série)'!$H87,'Previdência_(série)'!$H87-H86)</f>
        <v>2175517548.28</v>
      </c>
      <c r="J87" s="5">
        <f>SUMIFS('Previdência_(série)'!$I$2:$I$166,'Previdência_(série)'!$A$2:$A$166,"&gt;"&amp;EDATE('Previdência_(série)'!$A87,-12),'Previdência_(série)'!$A$2:$A$166,"&lt;"&amp;EDATE(A87,1))</f>
        <v>27244167512.66</v>
      </c>
      <c r="K87" s="5">
        <v>10623951264.96</v>
      </c>
      <c r="L87" s="5">
        <f>IF(MONTH('Previdência_(série)'!$A87)=1,'Previdência_(série)'!$K87,'Previdência_(série)'!$K87-K86)</f>
        <v>5323443544.2</v>
      </c>
      <c r="M87" s="5">
        <f>SUMIFS('Previdência_(série)'!$L$2:$L$166,'Previdência_(série)'!$A$2:$A$166,"&gt;"&amp;EDATE('Previdência_(série)'!$A87,-12),'Previdência_(série)'!$A$2:$A$166,"&lt;"&amp;EDATE(A87,1))</f>
        <v>65244729843.7</v>
      </c>
      <c r="N87" s="5">
        <v>357333423.6</v>
      </c>
      <c r="O87" s="5">
        <f>IF(MONTH('Previdência_(série)'!$A87)=1,'Previdência_(série)'!$N87,'Previdência_(série)'!$N87-N86)</f>
        <v>204572670.4</v>
      </c>
      <c r="P87" s="5">
        <f>SUMIFS('Previdência_(série)'!$O$2:$O$166,'Previdência_(série)'!$A$2:$A$166,"&gt;"&amp;EDATE('Previdência_(série)'!$A87,-12),'Previdência_(série)'!$A$2:$A$166,"&lt;"&amp;EDATE(A87,1))</f>
        <v>2377607447.4</v>
      </c>
      <c r="Q87" s="5">
        <v>4981819409.46</v>
      </c>
      <c r="R87" s="5">
        <f>IF(MONTH('Previdência_(série)'!$A87)=1,'Previdência_(série)'!$Q87,'Previdência_(série)'!$Q87-Q86)</f>
        <v>2497963820.64</v>
      </c>
      <c r="S87" s="5">
        <f>SUMIFS('Previdência_(série)'!$R$2:$R$166,'Previdência_(série)'!$A$2:$A$166,"&gt;"&amp;EDATE('Previdência_(série)'!$A87,-12),'Previdência_(série)'!$A$2:$A$166,"&lt;"&amp;EDATE(A87,1))</f>
        <v>32312253859.81</v>
      </c>
      <c r="T87" s="5"/>
      <c r="U87" s="5">
        <f>IF(MONTH('Previdência_(série)'!$A87)=1,'Previdência_(série)'!$T87,'Previdência_(série)'!$T87-T86)</f>
        <v>0</v>
      </c>
      <c r="V87" s="5">
        <f>SUMIFS('Previdência_(série)'!$U$2:$U$166,'Previdência_(série)'!$A$2:$A$166,"&gt;"&amp;EDATE('Previdência_(série)'!$A87,-12),'Previdência_(série)'!$A$2:$A$166,"&lt;"&amp;EDATE(A87,1))</f>
        <v>0</v>
      </c>
      <c r="W87" s="5"/>
      <c r="X87" s="5">
        <f>IF(MONTH('Previdência_(série)'!$A87)=1,'Previdência_(série)'!$W87,'Previdência_(série)'!$W87-W86)</f>
        <v>0</v>
      </c>
      <c r="Y87" s="5">
        <f>SUMIFS('Previdência_(série)'!$X$2:$X$166,'Previdência_(série)'!$A$2:$A$166,"&gt;"&amp;EDATE('Previdência_(série)'!$A87,-12),'Previdência_(série)'!$A$2:$A$166,"&lt;"&amp;EDATE(A87,1))</f>
        <v>0</v>
      </c>
      <c r="Z87" s="199"/>
      <c r="AA87" s="1"/>
      <c r="AB87" s="1"/>
      <c r="AC87" s="1"/>
      <c r="AD87" s="4" t="s">
        <v>587</v>
      </c>
      <c r="AE87" s="17">
        <v>42036</v>
      </c>
      <c r="AF87" s="4">
        <v>2015</v>
      </c>
    </row>
    <row ht="13.8" outlineLevel="0" r="88">
      <c r="A88" s="17">
        <v>42064</v>
      </c>
      <c r="B88" s="5">
        <v>82281492019.13</v>
      </c>
      <c r="C88" s="5">
        <f>IF(MONTH('Previdência_(série)'!$A88)=1,'Previdência_(série)'!$B88,'Previdência_(série)'!$B88-B87)</f>
        <v>27196497491.22</v>
      </c>
      <c r="D88" s="5">
        <f>SUMIFS('Previdência_(série)'!$C$2:$C$166,'Previdência_(série)'!$A$2:$A$166,"&gt;"&amp;EDATE('Previdência_(série)'!$A88,-12),'Previdência_(série)'!$A$2:$A$166,"&lt;"&amp;EDATE(A88,1))</f>
        <v>342652766702.7</v>
      </c>
      <c r="E88" s="5">
        <v>101202960656.26</v>
      </c>
      <c r="F88" s="5">
        <f>IF(MONTH('Previdência_(série)'!$A88)=1,'Previdência_(série)'!$E88,'Previdência_(série)'!$E88-E87)</f>
        <v>33716026666.9</v>
      </c>
      <c r="G88" s="5">
        <f>SUMIFS('Previdência_(série)'!$F$2:$F$166,'Previdência_(série)'!$A$2:$A$166,"&gt;"&amp;EDATE('Previdência_(série)'!$A88,-12),'Previdência_(série)'!$A$2:$A$166,"&lt;"&amp;EDATE(A88,1))</f>
        <v>406548351455.31</v>
      </c>
      <c r="H88" s="5">
        <v>6909741896.02</v>
      </c>
      <c r="I88" s="5">
        <f>IF(MONTH('Previdência_(série)'!$A88)=1,'Previdência_(série)'!$H88,'Previdência_(série)'!$H88-H87)</f>
        <v>2322910991.7</v>
      </c>
      <c r="J88" s="5">
        <f>SUMIFS('Previdência_(série)'!$I$2:$I$166,'Previdência_(série)'!$A$2:$A$166,"&gt;"&amp;EDATE('Previdência_(série)'!$A88,-12),'Previdência_(série)'!$A$2:$A$166,"&lt;"&amp;EDATE(A88,1))</f>
        <v>27532876459.86</v>
      </c>
      <c r="K88" s="5">
        <v>16046496108.79</v>
      </c>
      <c r="L88" s="5">
        <f>IF(MONTH('Previdência_(série)'!$A88)=1,'Previdência_(série)'!$K88,'Previdência_(série)'!$K88-K87)</f>
        <v>5422544843.83</v>
      </c>
      <c r="M88" s="5">
        <f>SUMIFS('Previdência_(série)'!$L$2:$L$166,'Previdência_(série)'!$A$2:$A$166,"&gt;"&amp;EDATE('Previdência_(série)'!$A88,-12),'Previdência_(série)'!$A$2:$A$166,"&lt;"&amp;EDATE(A88,1))</f>
        <v>65798398839.3</v>
      </c>
      <c r="N88" s="5">
        <v>576030767.34</v>
      </c>
      <c r="O88" s="5">
        <f>IF(MONTH('Previdência_(série)'!$A88)=1,'Previdência_(série)'!$N88,'Previdência_(série)'!$N88-N87)</f>
        <v>218697343.74</v>
      </c>
      <c r="P88" s="5">
        <f>SUMIFS('Previdência_(série)'!$O$2:$O$166,'Previdência_(série)'!$A$2:$A$166,"&gt;"&amp;EDATE('Previdência_(série)'!$A88,-12),'Previdência_(série)'!$A$2:$A$166,"&lt;"&amp;EDATE(A88,1))</f>
        <v>2399765603.52</v>
      </c>
      <c r="Q88" s="5">
        <v>7696334038.23</v>
      </c>
      <c r="R88" s="5">
        <f>IF(MONTH('Previdência_(série)'!$A88)=1,'Previdência_(série)'!$Q88,'Previdência_(série)'!$Q88-Q87)</f>
        <v>2714514628.77</v>
      </c>
      <c r="S88" s="5">
        <f>SUMIFS('Previdência_(série)'!$R$2:$R$166,'Previdência_(série)'!$A$2:$A$166,"&gt;"&amp;EDATE('Previdência_(série)'!$A88,-12),'Previdência_(série)'!$A$2:$A$166,"&lt;"&amp;EDATE(A88,1))</f>
        <v>32561352730.03</v>
      </c>
      <c r="T88" s="5"/>
      <c r="U88" s="5">
        <f>IF(MONTH('Previdência_(série)'!$A88)=1,'Previdência_(série)'!$T88,'Previdência_(série)'!$T88-T87)</f>
        <v>0</v>
      </c>
      <c r="V88" s="5">
        <f>SUMIFS('Previdência_(série)'!$U$2:$U$166,'Previdência_(série)'!$A$2:$A$166,"&gt;"&amp;EDATE('Previdência_(série)'!$A88,-12),'Previdência_(série)'!$A$2:$A$166,"&lt;"&amp;EDATE(A88,1))</f>
        <v>0</v>
      </c>
      <c r="W88" s="5"/>
      <c r="X88" s="5">
        <f>IF(MONTH('Previdência_(série)'!$A88)=1,'Previdência_(série)'!$W88,'Previdência_(série)'!$W88-W87)</f>
        <v>0</v>
      </c>
      <c r="Y88" s="5">
        <f>SUMIFS('Previdência_(série)'!$X$2:$X$166,'Previdência_(série)'!$A$2:$A$166,"&gt;"&amp;EDATE('Previdência_(série)'!$A88,-12),'Previdência_(série)'!$A$2:$A$166,"&lt;"&amp;EDATE(A88,1))</f>
        <v>0</v>
      </c>
      <c r="Z88" s="199"/>
      <c r="AA88" s="1"/>
      <c r="AB88" s="1"/>
      <c r="AC88" s="1"/>
      <c r="AD88" s="4" t="s">
        <v>588</v>
      </c>
      <c r="AE88" s="17">
        <v>42064</v>
      </c>
      <c r="AF88" s="4">
        <v>2015</v>
      </c>
    </row>
    <row ht="13.8" outlineLevel="0" r="89">
      <c r="A89" s="17">
        <v>42095</v>
      </c>
      <c r="B89" s="5">
        <v>112727982340.78</v>
      </c>
      <c r="C89" s="5">
        <f>IF(MONTH('Previdência_(série)'!$A89)=1,'Previdência_(série)'!$B89,'Previdência_(série)'!$B89-B88)</f>
        <v>30446490321.65</v>
      </c>
      <c r="D89" s="5">
        <f>SUMIFS('Previdência_(série)'!$C$2:$C$166,'Previdência_(série)'!$A$2:$A$166,"&gt;"&amp;EDATE('Previdência_(série)'!$A89,-12),'Previdência_(série)'!$A$2:$A$166,"&lt;"&amp;EDATE(A89,1))</f>
        <v>346271019129.13</v>
      </c>
      <c r="E89" s="5">
        <v>135045797791.6</v>
      </c>
      <c r="F89" s="5">
        <f>IF(MONTH('Previdência_(série)'!$A89)=1,'Previdência_(série)'!$E89,'Previdência_(série)'!$E89-E88)</f>
        <v>33842837135.34</v>
      </c>
      <c r="G89" s="5">
        <f>SUMIFS('Previdência_(série)'!$F$2:$F$166,'Previdência_(série)'!$A$2:$A$166,"&gt;"&amp;EDATE('Previdência_(série)'!$A89,-12),'Previdência_(série)'!$A$2:$A$166,"&lt;"&amp;EDATE(A89,1))</f>
        <v>410440718226.67</v>
      </c>
      <c r="H89" s="5">
        <v>9084033819.19</v>
      </c>
      <c r="I89" s="5">
        <f>IF(MONTH('Previdência_(série)'!$A89)=1,'Previdência_(série)'!$H89,'Previdência_(série)'!$H89-H88)</f>
        <v>2174291923.17</v>
      </c>
      <c r="J89" s="5">
        <f>SUMIFS('Previdência_(série)'!$I$2:$I$166,'Previdência_(série)'!$A$2:$A$166,"&gt;"&amp;EDATE('Previdência_(série)'!$A89,-12),'Previdência_(série)'!$A$2:$A$166,"&lt;"&amp;EDATE(A89,1))</f>
        <v>27689118756.79</v>
      </c>
      <c r="K89" s="5">
        <v>21209833583.88</v>
      </c>
      <c r="L89" s="5">
        <f>IF(MONTH('Previdência_(série)'!$A89)=1,'Previdência_(série)'!$K89,'Previdência_(série)'!$K89-K88)</f>
        <v>5163337475.09</v>
      </c>
      <c r="M89" s="5">
        <f>SUMIFS('Previdência_(série)'!$L$2:$L$166,'Previdência_(série)'!$A$2:$A$166,"&gt;"&amp;EDATE('Previdência_(série)'!$A89,-12),'Previdência_(série)'!$A$2:$A$166,"&lt;"&amp;EDATE(A89,1))</f>
        <v>66056076892.11</v>
      </c>
      <c r="N89" s="5">
        <v>800236026.9</v>
      </c>
      <c r="O89" s="5">
        <f>IF(MONTH('Previdência_(série)'!$A89)=1,'Previdência_(série)'!$N89,'Previdência_(série)'!$N89-N88)</f>
        <v>224205259.56</v>
      </c>
      <c r="P89" s="5">
        <f>SUMIFS('Previdência_(série)'!$O$2:$O$166,'Previdência_(série)'!$A$2:$A$166,"&gt;"&amp;EDATE('Previdência_(série)'!$A89,-12),'Previdência_(série)'!$A$2:$A$166,"&lt;"&amp;EDATE(A89,1))</f>
        <v>2421588058.54</v>
      </c>
      <c r="Q89" s="5">
        <v>10426032491.38</v>
      </c>
      <c r="R89" s="5">
        <f>IF(MONTH('Previdência_(série)'!$A89)=1,'Previdência_(série)'!$Q89,'Previdência_(série)'!$Q89-Q88)</f>
        <v>2729698453.15</v>
      </c>
      <c r="S89" s="5">
        <f>SUMIFS('Previdência_(série)'!$R$2:$R$166,'Previdência_(série)'!$A$2:$A$166,"&gt;"&amp;EDATE('Previdência_(série)'!$A89,-12),'Previdência_(série)'!$A$2:$A$166,"&lt;"&amp;EDATE(A89,1))</f>
        <v>32819621625.19</v>
      </c>
      <c r="T89" s="5"/>
      <c r="U89" s="5">
        <f>IF(MONTH('Previdência_(série)'!$A89)=1,'Previdência_(série)'!$T89,'Previdência_(série)'!$T89-T88)</f>
        <v>0</v>
      </c>
      <c r="V89" s="5">
        <f>SUMIFS('Previdência_(série)'!$U$2:$U$166,'Previdência_(série)'!$A$2:$A$166,"&gt;"&amp;EDATE('Previdência_(série)'!$A89,-12),'Previdência_(série)'!$A$2:$A$166,"&lt;"&amp;EDATE(A89,1))</f>
        <v>0</v>
      </c>
      <c r="W89" s="5"/>
      <c r="X89" s="5">
        <f>IF(MONTH('Previdência_(série)'!$A89)=1,'Previdência_(série)'!$W89,'Previdência_(série)'!$W89-W88)</f>
        <v>0</v>
      </c>
      <c r="Y89" s="5">
        <f>SUMIFS('Previdência_(série)'!$X$2:$X$166,'Previdência_(série)'!$A$2:$A$166,"&gt;"&amp;EDATE('Previdência_(série)'!$A89,-12),'Previdência_(série)'!$A$2:$A$166,"&lt;"&amp;EDATE(A89,1))</f>
        <v>0</v>
      </c>
      <c r="Z89" s="199"/>
      <c r="AA89" s="1"/>
      <c r="AB89" s="1"/>
      <c r="AC89" s="1"/>
      <c r="AD89" s="4" t="s">
        <v>589</v>
      </c>
      <c r="AE89" s="17">
        <v>42095</v>
      </c>
      <c r="AF89" s="4">
        <v>2015</v>
      </c>
    </row>
    <row ht="13.8" outlineLevel="0" r="90">
      <c r="A90" s="17">
        <v>42125</v>
      </c>
      <c r="B90" s="5">
        <v>141132428505.36</v>
      </c>
      <c r="C90" s="5">
        <f>IF(MONTH('Previdência_(série)'!$A90)=1,'Previdência_(série)'!$B90,'Previdência_(série)'!$B90-B89)</f>
        <v>28404446164.58</v>
      </c>
      <c r="D90" s="5">
        <f>SUMIFS('Previdência_(série)'!$C$2:$C$166,'Previdência_(série)'!$A$2:$A$166,"&gt;"&amp;EDATE('Previdência_(série)'!$A90,-12),'Previdência_(série)'!$A$2:$A$166,"&lt;"&amp;EDATE(A90,1))</f>
        <v>348131844597.72</v>
      </c>
      <c r="E90" s="5">
        <v>169733467230.58</v>
      </c>
      <c r="F90" s="5">
        <f>IF(MONTH('Previdência_(série)'!$A90)=1,'Previdência_(série)'!$E90,'Previdência_(série)'!$E90-E89)</f>
        <v>34687669438.98</v>
      </c>
      <c r="G90" s="5">
        <f>SUMIFS('Previdência_(série)'!$F$2:$F$166,'Previdência_(série)'!$A$2:$A$166,"&gt;"&amp;EDATE('Previdência_(série)'!$A90,-12),'Previdência_(série)'!$A$2:$A$166,"&lt;"&amp;EDATE(A90,1))</f>
        <v>414740716276.33</v>
      </c>
      <c r="H90" s="5">
        <v>11358197351.46</v>
      </c>
      <c r="I90" s="5">
        <f>IF(MONTH('Previdência_(série)'!$A90)=1,'Previdência_(série)'!$H90,'Previdência_(série)'!$H90-H89)</f>
        <v>2274163532.27</v>
      </c>
      <c r="J90" s="5">
        <f>SUMIFS('Previdência_(série)'!$I$2:$I$166,'Previdência_(série)'!$A$2:$A$166,"&gt;"&amp;EDATE('Previdência_(série)'!$A90,-12),'Previdência_(série)'!$A$2:$A$166,"&lt;"&amp;EDATE(A90,1))</f>
        <v>27878996929.69</v>
      </c>
      <c r="K90" s="5">
        <v>26564133228.37</v>
      </c>
      <c r="L90" s="5">
        <f>IF(MONTH('Previdência_(série)'!$A90)=1,'Previdência_(série)'!$K90,'Previdência_(série)'!$K90-K89)</f>
        <v>5354299644.49</v>
      </c>
      <c r="M90" s="5">
        <f>SUMIFS('Previdência_(série)'!$L$2:$L$166,'Previdência_(série)'!$A$2:$A$166,"&gt;"&amp;EDATE('Previdência_(série)'!$A90,-12),'Previdência_(série)'!$A$2:$A$166,"&lt;"&amp;EDATE(A90,1))</f>
        <v>66426048066.32</v>
      </c>
      <c r="N90" s="5">
        <v>1078882390.57</v>
      </c>
      <c r="O90" s="5">
        <f>IF(MONTH('Previdência_(série)'!$A90)=1,'Previdência_(série)'!$N90,'Previdência_(série)'!$N90-N89)</f>
        <v>278646363.67</v>
      </c>
      <c r="P90" s="5">
        <f>SUMIFS('Previdência_(série)'!$O$2:$O$166,'Previdência_(série)'!$A$2:$A$166,"&gt;"&amp;EDATE('Previdência_(série)'!$A90,-12),'Previdência_(série)'!$A$2:$A$166,"&lt;"&amp;EDATE(A90,1))</f>
        <v>2498436091.87</v>
      </c>
      <c r="Q90" s="5">
        <v>13164672118.76</v>
      </c>
      <c r="R90" s="5">
        <f>IF(MONTH('Previdência_(série)'!$A90)=1,'Previdência_(série)'!$Q90,'Previdência_(série)'!$Q90-Q89)</f>
        <v>2738639627.38</v>
      </c>
      <c r="S90" s="5">
        <f>SUMIFS('Previdência_(série)'!$R$2:$R$166,'Previdência_(série)'!$A$2:$A$166,"&gt;"&amp;EDATE('Previdência_(série)'!$A90,-12),'Previdência_(série)'!$A$2:$A$166,"&lt;"&amp;EDATE(A90,1))</f>
        <v>33075524292.23</v>
      </c>
      <c r="T90" s="5"/>
      <c r="U90" s="5">
        <f>IF(MONTH('Previdência_(série)'!$A90)=1,'Previdência_(série)'!$T90,'Previdência_(série)'!$T90-T89)</f>
        <v>0</v>
      </c>
      <c r="V90" s="5">
        <f>SUMIFS('Previdência_(série)'!$U$2:$U$166,'Previdência_(série)'!$A$2:$A$166,"&gt;"&amp;EDATE('Previdência_(série)'!$A90,-12),'Previdência_(série)'!$A$2:$A$166,"&lt;"&amp;EDATE(A90,1))</f>
        <v>0</v>
      </c>
      <c r="W90" s="5"/>
      <c r="X90" s="5">
        <f>IF(MONTH('Previdência_(série)'!$A90)=1,'Previdência_(série)'!$W90,'Previdência_(série)'!$W90-W89)</f>
        <v>0</v>
      </c>
      <c r="Y90" s="5">
        <f>SUMIFS('Previdência_(série)'!$X$2:$X$166,'Previdência_(série)'!$A$2:$A$166,"&gt;"&amp;EDATE('Previdência_(série)'!$A90,-12),'Previdência_(série)'!$A$2:$A$166,"&lt;"&amp;EDATE(A90,1))</f>
        <v>0</v>
      </c>
      <c r="Z90" s="199"/>
      <c r="AA90" s="1"/>
      <c r="AB90" s="1"/>
      <c r="AC90" s="1"/>
      <c r="AD90" s="4" t="s">
        <v>590</v>
      </c>
      <c r="AE90" s="17">
        <v>42125</v>
      </c>
      <c r="AF90" s="4">
        <v>2015</v>
      </c>
    </row>
    <row ht="13.8" outlineLevel="0" r="91">
      <c r="A91" s="17">
        <v>42156</v>
      </c>
      <c r="B91" s="5">
        <v>168865538948.63</v>
      </c>
      <c r="C91" s="5">
        <f>IF(MONTH('Previdência_(série)'!$A91)=1,'Previdência_(série)'!$B91,'Previdência_(série)'!$B91-B90)</f>
        <v>27733110443.27</v>
      </c>
      <c r="D91" s="5">
        <f>SUMIFS('Previdência_(série)'!$C$2:$C$166,'Previdência_(série)'!$A$2:$A$166,"&gt;"&amp;EDATE('Previdência_(série)'!$A91,-12),'Previdência_(série)'!$A$2:$A$166,"&lt;"&amp;EDATE(A91,1))</f>
        <v>349005379859.85</v>
      </c>
      <c r="E91" s="5">
        <v>203515521092.33</v>
      </c>
      <c r="F91" s="5">
        <f>IF(MONTH('Previdência_(série)'!$A91)=1,'Previdência_(série)'!$E91,'Previdência_(série)'!$E91-E90)</f>
        <v>33782053861.75</v>
      </c>
      <c r="G91" s="5">
        <f>SUMIFS('Previdência_(série)'!$F$2:$F$166,'Previdência_(série)'!$A$2:$A$166,"&gt;"&amp;EDATE('Previdência_(série)'!$A91,-12),'Previdência_(série)'!$A$2:$A$166,"&lt;"&amp;EDATE(A91,1))</f>
        <v>418248970576.13</v>
      </c>
      <c r="H91" s="5">
        <v>13627407744.26</v>
      </c>
      <c r="I91" s="5">
        <f>IF(MONTH('Previdência_(série)'!$A91)=1,'Previdência_(série)'!$H91,'Previdência_(série)'!$H91-H90)</f>
        <v>2269210392.8</v>
      </c>
      <c r="J91" s="5">
        <f>SUMIFS('Previdência_(série)'!$I$2:$I$166,'Previdência_(série)'!$A$2:$A$166,"&gt;"&amp;EDATE('Previdência_(série)'!$A91,-12),'Previdência_(série)'!$A$2:$A$166,"&lt;"&amp;EDATE(A91,1))</f>
        <v>28126750729.44</v>
      </c>
      <c r="K91" s="5">
        <v>34184170805.19</v>
      </c>
      <c r="L91" s="5">
        <f>IF(MONTH('Previdência_(série)'!$A91)=1,'Previdência_(série)'!$K91,'Previdência_(série)'!$K91-K90)</f>
        <v>7620037576.82</v>
      </c>
      <c r="M91" s="5">
        <f>SUMIFS('Previdência_(série)'!$L$2:$L$166,'Previdência_(série)'!$A$2:$A$166,"&gt;"&amp;EDATE('Previdência_(série)'!$A91,-12),'Previdência_(série)'!$A$2:$A$166,"&lt;"&amp;EDATE(A91,1))</f>
        <v>67031565177.93</v>
      </c>
      <c r="N91" s="5">
        <v>1303221229.04</v>
      </c>
      <c r="O91" s="5">
        <f>IF(MONTH('Previdência_(série)'!$A91)=1,'Previdência_(série)'!$N91,'Previdência_(série)'!$N91-N90)</f>
        <v>224338838.47</v>
      </c>
      <c r="P91" s="5">
        <f>SUMIFS('Previdência_(série)'!$O$2:$O$166,'Previdência_(série)'!$A$2:$A$166,"&gt;"&amp;EDATE('Previdência_(série)'!$A91,-12),'Previdência_(série)'!$A$2:$A$166,"&lt;"&amp;EDATE(A91,1))</f>
        <v>2520456364.85</v>
      </c>
      <c r="Q91" s="5">
        <v>17255726293.37</v>
      </c>
      <c r="R91" s="5">
        <f>IF(MONTH('Previdência_(série)'!$A91)=1,'Previdência_(série)'!$Q91,'Previdência_(série)'!$Q91-Q90)</f>
        <v>4091054174.61</v>
      </c>
      <c r="S91" s="5">
        <f>SUMIFS('Previdência_(série)'!$R$2:$R$166,'Previdência_(série)'!$A$2:$A$166,"&gt;"&amp;EDATE('Previdência_(série)'!$A91,-12),'Previdência_(série)'!$A$2:$A$166,"&lt;"&amp;EDATE(A91,1))</f>
        <v>33457591894.18</v>
      </c>
      <c r="T91" s="5"/>
      <c r="U91" s="5">
        <f>IF(MONTH('Previdência_(série)'!$A91)=1,'Previdência_(série)'!$T91,'Previdência_(série)'!$T91-T90)</f>
        <v>0</v>
      </c>
      <c r="V91" s="5">
        <f>SUMIFS('Previdência_(série)'!$U$2:$U$166,'Previdência_(série)'!$A$2:$A$166,"&gt;"&amp;EDATE('Previdência_(série)'!$A91,-12),'Previdência_(série)'!$A$2:$A$166,"&lt;"&amp;EDATE(A91,1))</f>
        <v>0</v>
      </c>
      <c r="W91" s="5"/>
      <c r="X91" s="5">
        <f>IF(MONTH('Previdência_(série)'!$A91)=1,'Previdência_(série)'!$W91,'Previdência_(série)'!$W91-W90)</f>
        <v>0</v>
      </c>
      <c r="Y91" s="5">
        <f>SUMIFS('Previdência_(série)'!$X$2:$X$166,'Previdência_(série)'!$A$2:$A$166,"&gt;"&amp;EDATE('Previdência_(série)'!$A91,-12),'Previdência_(série)'!$A$2:$A$166,"&lt;"&amp;EDATE(A91,1))</f>
        <v>0</v>
      </c>
      <c r="Z91" s="199"/>
      <c r="AA91" s="1"/>
      <c r="AB91" s="1"/>
      <c r="AC91" s="1"/>
      <c r="AD91" s="4" t="s">
        <v>591</v>
      </c>
      <c r="AE91" s="17">
        <v>42156</v>
      </c>
      <c r="AF91" s="4">
        <v>2015</v>
      </c>
    </row>
    <row ht="13.8" outlineLevel="0" r="92">
      <c r="A92" s="17">
        <v>42186</v>
      </c>
      <c r="B92" s="5">
        <v>197174355737.24</v>
      </c>
      <c r="C92" s="5">
        <f>IF(MONTH('Previdência_(série)'!$A92)=1,'Previdência_(série)'!$B92,'Previdência_(série)'!$B92-B91)</f>
        <v>28308816788.61</v>
      </c>
      <c r="D92" s="5">
        <f>SUMIFS('Previdência_(série)'!$C$2:$C$166,'Previdência_(série)'!$A$2:$A$166,"&gt;"&amp;EDATE('Previdência_(série)'!$A92,-12),'Previdência_(série)'!$A$2:$A$166,"&lt;"&amp;EDATE(A92,1))</f>
        <v>350472441892.29</v>
      </c>
      <c r="E92" s="5">
        <v>237174742483.12</v>
      </c>
      <c r="F92" s="5">
        <f>IF(MONTH('Previdência_(série)'!$A92)=1,'Previdência_(série)'!$E92,'Previdência_(série)'!$E92-E91)</f>
        <v>33659221390.79</v>
      </c>
      <c r="G92" s="5">
        <f>SUMIFS('Previdência_(série)'!$F$2:$F$166,'Previdência_(série)'!$A$2:$A$166,"&gt;"&amp;EDATE('Previdência_(série)'!$A92,-12),'Previdência_(série)'!$A$2:$A$166,"&lt;"&amp;EDATE(A92,1))</f>
        <v>421488405132.26</v>
      </c>
      <c r="H92" s="5">
        <v>15881582517.89</v>
      </c>
      <c r="I92" s="5">
        <f>IF(MONTH('Previdência_(série)'!$A92)=1,'Previdência_(série)'!$H92,'Previdência_(série)'!$H92-H91)</f>
        <v>2254174773.63</v>
      </c>
      <c r="J92" s="5">
        <f>SUMIFS('Previdência_(série)'!$I$2:$I$166,'Previdência_(série)'!$A$2:$A$166,"&gt;"&amp;EDATE('Previdência_(série)'!$A92,-12),'Previdência_(série)'!$A$2:$A$166,"&lt;"&amp;EDATE(A92,1))</f>
        <v>28282779140.97</v>
      </c>
      <c r="K92" s="5">
        <v>39505642736.14</v>
      </c>
      <c r="L92" s="5">
        <f>IF(MONTH('Previdência_(série)'!$A92)=1,'Previdência_(série)'!$K92,'Previdência_(série)'!$K92-K91)</f>
        <v>5321471930.95</v>
      </c>
      <c r="M92" s="5">
        <f>SUMIFS('Previdência_(série)'!$L$2:$L$166,'Previdência_(série)'!$A$2:$A$166,"&gt;"&amp;EDATE('Previdência_(série)'!$A92,-12),'Previdência_(série)'!$A$2:$A$166,"&lt;"&amp;EDATE(A92,1))</f>
        <v>67405754696.92</v>
      </c>
      <c r="N92" s="5">
        <v>1528043571.61</v>
      </c>
      <c r="O92" s="5">
        <f>IF(MONTH('Previdência_(série)'!$A92)=1,'Previdência_(série)'!$N92,'Previdência_(série)'!$N92-N91)</f>
        <v>224822342.57</v>
      </c>
      <c r="P92" s="5">
        <f>SUMIFS('Previdência_(série)'!$O$2:$O$166,'Previdência_(série)'!$A$2:$A$166,"&gt;"&amp;EDATE('Previdência_(série)'!$A92,-12),'Previdência_(série)'!$A$2:$A$166,"&lt;"&amp;EDATE(A92,1))</f>
        <v>2492061025.89</v>
      </c>
      <c r="Q92" s="5">
        <v>20000904952.92</v>
      </c>
      <c r="R92" s="5">
        <f>IF(MONTH('Previdência_(série)'!$A92)=1,'Previdência_(série)'!$Q92,'Previdência_(série)'!$Q92-Q91)</f>
        <v>2745178659.55</v>
      </c>
      <c r="S92" s="5">
        <f>SUMIFS('Previdência_(série)'!$R$2:$R$166,'Previdência_(série)'!$A$2:$A$166,"&gt;"&amp;EDATE('Previdência_(série)'!$A92,-12),'Previdência_(série)'!$A$2:$A$166,"&lt;"&amp;EDATE(A92,1))</f>
        <v>33714733739.27</v>
      </c>
      <c r="T92" s="5"/>
      <c r="U92" s="5">
        <f>IF(MONTH('Previdência_(série)'!$A92)=1,'Previdência_(série)'!$T92,'Previdência_(série)'!$T92-T91)</f>
        <v>0</v>
      </c>
      <c r="V92" s="5">
        <f>SUMIFS('Previdência_(série)'!$U$2:$U$166,'Previdência_(série)'!$A$2:$A$166,"&gt;"&amp;EDATE('Previdência_(série)'!$A92,-12),'Previdência_(série)'!$A$2:$A$166,"&lt;"&amp;EDATE(A92,1))</f>
        <v>0</v>
      </c>
      <c r="W92" s="5"/>
      <c r="X92" s="5">
        <f>IF(MONTH('Previdência_(série)'!$A92)=1,'Previdência_(série)'!$W92,'Previdência_(série)'!$W92-W91)</f>
        <v>0</v>
      </c>
      <c r="Y92" s="5">
        <f>SUMIFS('Previdência_(série)'!$X$2:$X$166,'Previdência_(série)'!$A$2:$A$166,"&gt;"&amp;EDATE('Previdência_(série)'!$A92,-12),'Previdência_(série)'!$A$2:$A$166,"&lt;"&amp;EDATE(A92,1))</f>
        <v>0</v>
      </c>
      <c r="Z92" s="199"/>
      <c r="AA92" s="1"/>
      <c r="AB92" s="1"/>
      <c r="AC92" s="1"/>
      <c r="AD92" s="4" t="s">
        <v>592</v>
      </c>
      <c r="AE92" s="17">
        <v>42186</v>
      </c>
      <c r="AF92" s="4">
        <v>2015</v>
      </c>
    </row>
    <row ht="13.8" outlineLevel="0" r="93">
      <c r="A93" s="17">
        <v>42217</v>
      </c>
      <c r="B93" s="5">
        <v>224988977617.59</v>
      </c>
      <c r="C93" s="5">
        <f>IF(MONTH('Previdência_(série)'!$A93)=1,'Previdência_(série)'!$B93,'Previdência_(série)'!$B93-B92)</f>
        <v>27814621880.35</v>
      </c>
      <c r="D93" s="5">
        <f>SUMIFS('Previdência_(série)'!$C$2:$C$166,'Previdência_(série)'!$A$2:$A$166,"&gt;"&amp;EDATE('Previdência_(série)'!$A93,-12),'Previdência_(série)'!$A$2:$A$166,"&lt;"&amp;EDATE(A93,1))</f>
        <v>350484162529.13</v>
      </c>
      <c r="E93" s="5">
        <v>270264608101.94</v>
      </c>
      <c r="F93" s="5">
        <f>IF(MONTH('Previdência_(série)'!$A93)=1,'Previdência_(série)'!$E93,'Previdência_(série)'!$E93-E92)</f>
        <v>33089865618.82</v>
      </c>
      <c r="G93" s="5">
        <f>SUMIFS('Previdência_(série)'!$F$2:$F$166,'Previdência_(série)'!$A$2:$A$166,"&gt;"&amp;EDATE('Previdência_(série)'!$A93,-12),'Previdência_(série)'!$A$2:$A$166,"&lt;"&amp;EDATE(A93,1))</f>
        <v>410313537233.01</v>
      </c>
      <c r="H93" s="5">
        <v>18110215005.93</v>
      </c>
      <c r="I93" s="5">
        <f>IF(MONTH('Previdência_(série)'!$A93)=1,'Previdência_(série)'!$H93,'Previdência_(série)'!$H93-H92)</f>
        <v>2228632488.04</v>
      </c>
      <c r="J93" s="5">
        <f>SUMIFS('Previdência_(série)'!$I$2:$I$166,'Previdência_(série)'!$A$2:$A$166,"&gt;"&amp;EDATE('Previdência_(série)'!$A93,-12),'Previdência_(série)'!$A$2:$A$166,"&lt;"&amp;EDATE(A93,1))</f>
        <v>28461356210.53</v>
      </c>
      <c r="K93" s="5">
        <v>44885170586.13</v>
      </c>
      <c r="L93" s="5">
        <f>IF(MONTH('Previdência_(série)'!$A93)=1,'Previdência_(série)'!$K93,'Previdência_(série)'!$K93-K92)</f>
        <v>5379527849.99</v>
      </c>
      <c r="M93" s="5">
        <f>SUMIFS('Previdência_(série)'!$L$2:$L$166,'Previdência_(série)'!$A$2:$A$166,"&gt;"&amp;EDATE('Previdência_(série)'!$A93,-12),'Previdência_(série)'!$A$2:$A$166,"&lt;"&amp;EDATE(A93,1))</f>
        <v>67806267991.08</v>
      </c>
      <c r="N93" s="5">
        <v>1752634115.22</v>
      </c>
      <c r="O93" s="5">
        <f>IF(MONTH('Previdência_(série)'!$A93)=1,'Previdência_(série)'!$N93,'Previdência_(série)'!$N93-N92)</f>
        <v>224590543.61</v>
      </c>
      <c r="P93" s="5">
        <f>SUMIFS('Previdência_(série)'!$O$2:$O$166,'Previdência_(série)'!$A$2:$A$166,"&gt;"&amp;EDATE('Previdência_(série)'!$A93,-12),'Previdência_(série)'!$A$2:$A$166,"&lt;"&amp;EDATE(A93,1))</f>
        <v>2565283495.58</v>
      </c>
      <c r="Q93" s="5">
        <v>22746712930.02</v>
      </c>
      <c r="R93" s="5">
        <f>IF(MONTH('Previdência_(série)'!$A93)=1,'Previdência_(série)'!$Q93,'Previdência_(série)'!$Q93-Q92)</f>
        <v>2745807977.1</v>
      </c>
      <c r="S93" s="5">
        <f>SUMIFS('Previdência_(série)'!$R$2:$R$166,'Previdência_(série)'!$A$2:$A$166,"&gt;"&amp;EDATE('Previdência_(série)'!$A93,-12),'Previdência_(série)'!$A$2:$A$166,"&lt;"&amp;EDATE(A93,1))</f>
        <v>33970791852.9</v>
      </c>
      <c r="T93" s="5"/>
      <c r="U93" s="5">
        <f>IF(MONTH('Previdência_(série)'!$A93)=1,'Previdência_(série)'!$T93,'Previdência_(série)'!$T93-T92)</f>
        <v>0</v>
      </c>
      <c r="V93" s="5">
        <f>SUMIFS('Previdência_(série)'!$U$2:$U$166,'Previdência_(série)'!$A$2:$A$166,"&gt;"&amp;EDATE('Previdência_(série)'!$A93,-12),'Previdência_(série)'!$A$2:$A$166,"&lt;"&amp;EDATE(A93,1))</f>
        <v>0</v>
      </c>
      <c r="W93" s="5"/>
      <c r="X93" s="5">
        <f>IF(MONTH('Previdência_(série)'!$A93)=1,'Previdência_(série)'!$W93,'Previdência_(série)'!$W93-W92)</f>
        <v>0</v>
      </c>
      <c r="Y93" s="5">
        <f>SUMIFS('Previdência_(série)'!$X$2:$X$166,'Previdência_(série)'!$A$2:$A$166,"&gt;"&amp;EDATE('Previdência_(série)'!$A93,-12),'Previdência_(série)'!$A$2:$A$166,"&lt;"&amp;EDATE(A93,1))</f>
        <v>0</v>
      </c>
      <c r="Z93" s="199"/>
      <c r="AA93" s="1"/>
      <c r="AB93" s="1"/>
      <c r="AC93" s="1"/>
      <c r="AD93" s="4" t="s">
        <v>593</v>
      </c>
      <c r="AE93" s="17">
        <v>42217</v>
      </c>
      <c r="AF93" s="4">
        <v>2015</v>
      </c>
    </row>
    <row ht="13.8" outlineLevel="0" r="94">
      <c r="A94" s="17">
        <v>42248</v>
      </c>
      <c r="B94" s="5">
        <v>252644103948.3</v>
      </c>
      <c r="C94" s="5">
        <f>IF(MONTH('Previdência_(série)'!$A94)=1,'Previdência_(série)'!$B94,'Previdência_(série)'!$B94-B93)</f>
        <v>27655126330.71</v>
      </c>
      <c r="D94" s="5">
        <f>SUMIFS('Previdência_(série)'!$C$2:$C$166,'Previdência_(série)'!$A$2:$A$166,"&gt;"&amp;EDATE('Previdência_(série)'!$A94,-12),'Previdência_(série)'!$A$2:$A$166,"&lt;"&amp;EDATE(A94,1))</f>
        <v>350571858884.7</v>
      </c>
      <c r="E94" s="5">
        <v>318843030703.72</v>
      </c>
      <c r="F94" s="5">
        <f>IF(MONTH('Previdência_(série)'!$A94)=1,'Previdência_(série)'!$E94,'Previdência_(série)'!$E94-E93)</f>
        <v>48578422601.78</v>
      </c>
      <c r="G94" s="5">
        <f>SUMIFS('Previdência_(série)'!$F$2:$F$166,'Previdência_(série)'!$A$2:$A$166,"&gt;"&amp;EDATE('Previdência_(série)'!$A94,-12),'Previdência_(série)'!$A$2:$A$166,"&lt;"&amp;EDATE(A94,1))</f>
        <v>428115385915.3</v>
      </c>
      <c r="H94" s="5">
        <v>20356487685.72</v>
      </c>
      <c r="I94" s="5">
        <f>IF(MONTH('Previdência_(série)'!$A94)=1,'Previdência_(série)'!$H94,'Previdência_(série)'!$H94-H93)</f>
        <v>2246272679.79</v>
      </c>
      <c r="J94" s="5">
        <f>SUMIFS('Previdência_(série)'!$I$2:$I$166,'Previdência_(série)'!$A$2:$A$166,"&gt;"&amp;EDATE('Previdência_(série)'!$A94,-12),'Previdência_(série)'!$A$2:$A$166,"&lt;"&amp;EDATE(A94,1))</f>
        <v>28652785487.27</v>
      </c>
      <c r="K94" s="5">
        <v>50331648019.93</v>
      </c>
      <c r="L94" s="5">
        <f>IF(MONTH('Previdência_(série)'!$A94)=1,'Previdência_(série)'!$K94,'Previdência_(série)'!$K94-K93)</f>
        <v>5446477433.8</v>
      </c>
      <c r="M94" s="5">
        <f>SUMIFS('Previdência_(série)'!$L$2:$L$166,'Previdência_(série)'!$A$2:$A$166,"&gt;"&amp;EDATE('Previdência_(série)'!$A94,-12),'Previdência_(série)'!$A$2:$A$166,"&lt;"&amp;EDATE(A94,1))</f>
        <v>68146765414.88</v>
      </c>
      <c r="N94" s="5">
        <v>1977510347.92</v>
      </c>
      <c r="O94" s="5">
        <f>IF(MONTH('Previdência_(série)'!$A94)=1,'Previdência_(série)'!$N94,'Previdência_(série)'!$N94-N93)</f>
        <v>224876232.7</v>
      </c>
      <c r="P94" s="5">
        <f>SUMIFS('Previdência_(série)'!$O$2:$O$166,'Previdência_(série)'!$A$2:$A$166,"&gt;"&amp;EDATE('Previdência_(série)'!$A94,-12),'Previdência_(série)'!$A$2:$A$166,"&lt;"&amp;EDATE(A94,1))</f>
        <v>2585185441.59</v>
      </c>
      <c r="Q94" s="5">
        <v>25507188850.52</v>
      </c>
      <c r="R94" s="5">
        <f>IF(MONTH('Previdência_(série)'!$A94)=1,'Previdência_(série)'!$Q94,'Previdência_(série)'!$Q94-Q93)</f>
        <v>2760475920.5</v>
      </c>
      <c r="S94" s="5">
        <f>SUMIFS('Previdência_(série)'!$R$2:$R$166,'Previdência_(série)'!$A$2:$A$166,"&gt;"&amp;EDATE('Previdência_(série)'!$A94,-12),'Previdência_(série)'!$A$2:$A$166,"&lt;"&amp;EDATE(A94,1))</f>
        <v>34232766391.26</v>
      </c>
      <c r="T94" s="5"/>
      <c r="U94" s="5">
        <f>IF(MONTH('Previdência_(série)'!$A94)=1,'Previdência_(série)'!$T94,'Previdência_(série)'!$T94-T93)</f>
        <v>0</v>
      </c>
      <c r="V94" s="5">
        <f>SUMIFS('Previdência_(série)'!$U$2:$U$166,'Previdência_(série)'!$A$2:$A$166,"&gt;"&amp;EDATE('Previdência_(série)'!$A94,-12),'Previdência_(série)'!$A$2:$A$166,"&lt;"&amp;EDATE(A94,1))</f>
        <v>0</v>
      </c>
      <c r="W94" s="5"/>
      <c r="X94" s="5">
        <f>IF(MONTH('Previdência_(série)'!$A94)=1,'Previdência_(série)'!$W94,'Previdência_(série)'!$W94-W93)</f>
        <v>0</v>
      </c>
      <c r="Y94" s="5">
        <f>SUMIFS('Previdência_(série)'!$X$2:$X$166,'Previdência_(série)'!$A$2:$A$166,"&gt;"&amp;EDATE('Previdência_(série)'!$A94,-12),'Previdência_(série)'!$A$2:$A$166,"&lt;"&amp;EDATE(A94,1))</f>
        <v>0</v>
      </c>
      <c r="Z94" s="199"/>
      <c r="AA94" s="1"/>
      <c r="AB94" s="1"/>
      <c r="AC94" s="1"/>
      <c r="AD94" s="4" t="s">
        <v>594</v>
      </c>
      <c r="AE94" s="17">
        <v>42248</v>
      </c>
      <c r="AF94" s="4">
        <v>2015</v>
      </c>
    </row>
    <row ht="13.8" outlineLevel="0" r="95">
      <c r="A95" s="17">
        <v>42278</v>
      </c>
      <c r="B95" s="5">
        <v>278980486318.53</v>
      </c>
      <c r="C95" s="5">
        <f>IF(MONTH('Previdência_(série)'!$A95)=1,'Previdência_(série)'!$B95,'Previdência_(série)'!$B95-B94)</f>
        <v>26336382370.23</v>
      </c>
      <c r="D95" s="5">
        <f>SUMIFS('Previdência_(série)'!$C$2:$C$166,'Previdência_(série)'!$A$2:$A$166,"&gt;"&amp;EDATE('Previdência_(série)'!$A95,-12),'Previdência_(série)'!$A$2:$A$166,"&lt;"&amp;EDATE(A95,1))</f>
        <v>349317449046.82</v>
      </c>
      <c r="E95" s="5">
        <v>353045487595.79</v>
      </c>
      <c r="F95" s="5">
        <f>IF(MONTH('Previdência_(série)'!$A95)=1,'Previdência_(série)'!$E95,'Previdência_(série)'!$E95-E94)</f>
        <v>34202456892.07</v>
      </c>
      <c r="G95" s="5">
        <f>SUMIFS('Previdência_(série)'!$F$2:$F$166,'Previdência_(série)'!$A$2:$A$166,"&gt;"&amp;EDATE('Previdência_(série)'!$A95,-12),'Previdência_(série)'!$A$2:$A$166,"&lt;"&amp;EDATE(A95,1))</f>
        <v>429056920274.25</v>
      </c>
      <c r="H95" s="5">
        <v>22584742615.68</v>
      </c>
      <c r="I95" s="5">
        <f>IF(MONTH('Previdência_(série)'!$A95)=1,'Previdência_(série)'!$H95,'Previdência_(série)'!$H95-H94)</f>
        <v>2228254929.96</v>
      </c>
      <c r="J95" s="5">
        <f>SUMIFS('Previdência_(série)'!$I$2:$I$166,'Previdência_(série)'!$A$2:$A$166,"&gt;"&amp;EDATE('Previdência_(série)'!$A95,-12),'Previdência_(série)'!$A$2:$A$166,"&lt;"&amp;EDATE(A95,1))</f>
        <v>28760829464.48</v>
      </c>
      <c r="K95" s="5">
        <v>55522689247.37</v>
      </c>
      <c r="L95" s="5">
        <f>IF(MONTH('Previdência_(série)'!$A95)=1,'Previdência_(série)'!$K95,'Previdência_(série)'!$K95-K94)</f>
        <v>5191041227.44</v>
      </c>
      <c r="M95" s="5">
        <f>SUMIFS('Previdência_(série)'!$L$2:$L$166,'Previdência_(série)'!$A$2:$A$166,"&gt;"&amp;EDATE('Previdência_(série)'!$A95,-12),'Previdência_(série)'!$A$2:$A$166,"&lt;"&amp;EDATE(A95,1))</f>
        <v>68158739636.64</v>
      </c>
      <c r="N95" s="5">
        <v>2202233773.69</v>
      </c>
      <c r="O95" s="5">
        <f>IF(MONTH('Previdência_(série)'!$A95)=1,'Previdência_(série)'!$N95,'Previdência_(série)'!$N95-N94)</f>
        <v>224723425.77</v>
      </c>
      <c r="P95" s="5">
        <f>SUMIFS('Previdência_(série)'!$O$2:$O$166,'Previdência_(série)'!$A$2:$A$166,"&gt;"&amp;EDATE('Previdência_(série)'!$A95,-12),'Previdência_(série)'!$A$2:$A$166,"&lt;"&amp;EDATE(A95,1))</f>
        <v>2606877816.54</v>
      </c>
      <c r="Q95" s="5">
        <v>28266025938.48</v>
      </c>
      <c r="R95" s="5">
        <f>IF(MONTH('Previdência_(série)'!$A95)=1,'Previdência_(série)'!$Q95,'Previdência_(série)'!$Q95-Q94)</f>
        <v>2758837087.96</v>
      </c>
      <c r="S95" s="5">
        <f>SUMIFS('Previdência_(série)'!$R$2:$R$166,'Previdência_(série)'!$A$2:$A$166,"&gt;"&amp;EDATE('Previdência_(série)'!$A95,-12),'Previdência_(série)'!$A$2:$A$166,"&lt;"&amp;EDATE(A95,1))</f>
        <v>34492483864.35</v>
      </c>
      <c r="T95" s="5"/>
      <c r="U95" s="5">
        <f>IF(MONTH('Previdência_(série)'!$A95)=1,'Previdência_(série)'!$T95,'Previdência_(série)'!$T95-T94)</f>
        <v>0</v>
      </c>
      <c r="V95" s="5">
        <f>SUMIFS('Previdência_(série)'!$U$2:$U$166,'Previdência_(série)'!$A$2:$A$166,"&gt;"&amp;EDATE('Previdência_(série)'!$A95,-12),'Previdência_(série)'!$A$2:$A$166,"&lt;"&amp;EDATE(A95,1))</f>
        <v>0</v>
      </c>
      <c r="W95" s="5"/>
      <c r="X95" s="5">
        <f>IF(MONTH('Previdência_(série)'!$A95)=1,'Previdência_(série)'!$W95,'Previdência_(série)'!$W95-W94)</f>
        <v>0</v>
      </c>
      <c r="Y95" s="5">
        <f>SUMIFS('Previdência_(série)'!$X$2:$X$166,'Previdência_(série)'!$A$2:$A$166,"&gt;"&amp;EDATE('Previdência_(série)'!$A95,-12),'Previdência_(série)'!$A$2:$A$166,"&lt;"&amp;EDATE(A95,1))</f>
        <v>0</v>
      </c>
      <c r="Z95" s="199"/>
      <c r="AA95" s="1"/>
      <c r="AB95" s="1"/>
      <c r="AC95" s="1"/>
      <c r="AD95" s="4" t="s">
        <v>595</v>
      </c>
      <c r="AE95" s="17">
        <v>42278</v>
      </c>
      <c r="AF95" s="4">
        <v>2015</v>
      </c>
    </row>
    <row ht="13.8" outlineLevel="0" r="96">
      <c r="A96" s="17">
        <v>42309</v>
      </c>
      <c r="B96" s="5">
        <v>304897090244.25</v>
      </c>
      <c r="C96" s="5">
        <f>IF(MONTH('Previdência_(série)'!$A96)=1,'Previdência_(série)'!$B96,'Previdência_(série)'!$B96-B95)</f>
        <v>25916603925.72</v>
      </c>
      <c r="D96" s="5">
        <f>SUMIFS('Previdência_(série)'!$C$2:$C$166,'Previdência_(série)'!$A$2:$A$166,"&gt;"&amp;EDATE('Previdência_(série)'!$A96,-12),'Previdência_(série)'!$A$2:$A$166,"&lt;"&amp;EDATE(A96,1))</f>
        <v>346532774965.13</v>
      </c>
      <c r="E96" s="5">
        <v>406036481537.48</v>
      </c>
      <c r="F96" s="5">
        <f>IF(MONTH('Previdência_(série)'!$A96)=1,'Previdência_(série)'!$E96,'Previdência_(série)'!$E96-E95)</f>
        <v>52990993941.69</v>
      </c>
      <c r="G96" s="5">
        <f>SUMIFS('Previdência_(série)'!$F$2:$F$166,'Previdência_(série)'!$A$2:$A$166,"&gt;"&amp;EDATE('Previdência_(série)'!$A96,-12),'Previdência_(série)'!$A$2:$A$166,"&lt;"&amp;EDATE(A96,1))</f>
        <v>437392421401.91</v>
      </c>
      <c r="H96" s="5">
        <v>26385440889.32</v>
      </c>
      <c r="I96" s="5">
        <f>IF(MONTH('Previdência_(série)'!$A96)=1,'Previdência_(série)'!$H96,'Previdência_(série)'!$H96-H95)</f>
        <v>3800698273.64</v>
      </c>
      <c r="J96" s="5">
        <f>SUMIFS('Previdência_(série)'!$I$2:$I$166,'Previdência_(série)'!$A$2:$A$166,"&gt;"&amp;EDATE('Previdência_(série)'!$A96,-12),'Previdência_(série)'!$A$2:$A$166,"&lt;"&amp;EDATE(A96,1))</f>
        <v>28772174059.28</v>
      </c>
      <c r="K96" s="5">
        <v>63822214307.22</v>
      </c>
      <c r="L96" s="5">
        <f>IF(MONTH('Previdência_(série)'!$A96)=1,'Previdência_(série)'!$K96,'Previdência_(série)'!$K96-K95)</f>
        <v>8299525059.84999</v>
      </c>
      <c r="M96" s="5">
        <f>SUMIFS('Previdência_(série)'!$L$2:$L$166,'Previdência_(série)'!$A$2:$A$166,"&gt;"&amp;EDATE('Previdência_(série)'!$A96,-12),'Previdência_(série)'!$A$2:$A$166,"&lt;"&amp;EDATE(A96,1))</f>
        <v>69108846888.05</v>
      </c>
      <c r="N96" s="5">
        <v>2427173940.61</v>
      </c>
      <c r="O96" s="5">
        <f>IF(MONTH('Previdência_(série)'!$A96)=1,'Previdência_(série)'!$N96,'Previdência_(série)'!$N96-N95)</f>
        <v>224940166.92</v>
      </c>
      <c r="P96" s="5">
        <f>SUMIFS('Previdência_(série)'!$O$2:$O$166,'Previdência_(série)'!$A$2:$A$166,"&gt;"&amp;EDATE('Previdência_(série)'!$A96,-12),'Previdência_(série)'!$A$2:$A$166,"&lt;"&amp;EDATE(A96,1))</f>
        <v>2628771607.13</v>
      </c>
      <c r="Q96" s="5">
        <v>32390138859.39</v>
      </c>
      <c r="R96" s="5">
        <f>IF(MONTH('Previdência_(série)'!$A96)=1,'Previdência_(série)'!$Q96,'Previdência_(série)'!$Q96-Q95)</f>
        <v>4124112920.91</v>
      </c>
      <c r="S96" s="5">
        <f>SUMIFS('Previdência_(série)'!$R$2:$R$166,'Previdência_(série)'!$A$2:$A$166,"&gt;"&amp;EDATE('Previdência_(série)'!$A96,-12),'Previdência_(série)'!$A$2:$A$166,"&lt;"&amp;EDATE(A96,1))</f>
        <v>34886617434.01</v>
      </c>
      <c r="T96" s="5"/>
      <c r="U96" s="5">
        <f>IF(MONTH('Previdência_(série)'!$A96)=1,'Previdência_(série)'!$T96,'Previdência_(série)'!$T96-T95)</f>
        <v>0</v>
      </c>
      <c r="V96" s="5">
        <f>SUMIFS('Previdência_(série)'!$U$2:$U$166,'Previdência_(série)'!$A$2:$A$166,"&gt;"&amp;EDATE('Previdência_(série)'!$A96,-12),'Previdência_(série)'!$A$2:$A$166,"&lt;"&amp;EDATE(A96,1))</f>
        <v>0</v>
      </c>
      <c r="W96" s="5"/>
      <c r="X96" s="5">
        <f>IF(MONTH('Previdência_(série)'!$A96)=1,'Previdência_(série)'!$W96,'Previdência_(série)'!$W96-W95)</f>
        <v>0</v>
      </c>
      <c r="Y96" s="5">
        <f>SUMIFS('Previdência_(série)'!$X$2:$X$166,'Previdência_(série)'!$A$2:$A$166,"&gt;"&amp;EDATE('Previdência_(série)'!$A96,-12),'Previdência_(série)'!$A$2:$A$166,"&lt;"&amp;EDATE(A96,1))</f>
        <v>0</v>
      </c>
      <c r="Z96" s="199"/>
      <c r="AA96" s="1"/>
      <c r="AB96" s="1"/>
      <c r="AC96" s="1"/>
      <c r="AD96" s="4" t="s">
        <v>596</v>
      </c>
      <c r="AE96" s="17">
        <v>42309</v>
      </c>
      <c r="AF96" s="4">
        <v>2015</v>
      </c>
    </row>
    <row ht="13.8" outlineLevel="0" r="97">
      <c r="A97" s="17">
        <v>42339</v>
      </c>
      <c r="B97" s="5">
        <v>351675103559.27</v>
      </c>
      <c r="C97" s="5">
        <f>IF(MONTH('Previdência_(série)'!$A97)=1,'Previdência_(série)'!$B97,'Previdência_(série)'!$B97-B96)</f>
        <v>46778013315.02</v>
      </c>
      <c r="D97" s="5">
        <f>SUMIFS('Previdência_(série)'!$C$2:$C$166,'Previdência_(série)'!$A$2:$A$166,"&gt;"&amp;EDATE('Previdência_(série)'!$A97,-12),'Previdência_(série)'!$A$2:$A$166,"&lt;"&amp;EDATE(A97,1))</f>
        <v>351675103559.27</v>
      </c>
      <c r="E97" s="5">
        <v>440084549879.15</v>
      </c>
      <c r="F97" s="5">
        <f>IF(MONTH('Previdência_(série)'!$A97)=1,'Previdência_(série)'!$E97,'Previdência_(série)'!$E97-E96)</f>
        <v>34048068341.6699</v>
      </c>
      <c r="G97" s="5">
        <f>SUMIFS('Previdência_(série)'!$F$2:$F$166,'Previdência_(série)'!$A$2:$A$166,"&gt;"&amp;EDATE('Previdência_(série)'!$A97,-12),'Previdência_(série)'!$A$2:$A$166,"&lt;"&amp;EDATE(A97,1))</f>
        <v>440084549879.15</v>
      </c>
      <c r="H97" s="5">
        <v>29498631121.55</v>
      </c>
      <c r="I97" s="5">
        <f>IF(MONTH('Previdência_(série)'!$A97)=1,'Previdência_(série)'!$H97,'Previdência_(série)'!$H97-H96)</f>
        <v>3113190232.23</v>
      </c>
      <c r="J97" s="5">
        <f>SUMIFS('Previdência_(série)'!$I$2:$I$166,'Previdência_(série)'!$A$2:$A$166,"&gt;"&amp;EDATE('Previdência_(série)'!$A97,-12),'Previdência_(série)'!$A$2:$A$166,"&lt;"&amp;EDATE(A97,1))</f>
        <v>29498631121.55</v>
      </c>
      <c r="K97" s="5">
        <v>69506444251.28</v>
      </c>
      <c r="L97" s="5">
        <f>IF(MONTH('Previdência_(série)'!$A97)=1,'Previdência_(série)'!$K97,'Previdência_(série)'!$K97-K96)</f>
        <v>5684229944.06001</v>
      </c>
      <c r="M97" s="5">
        <f>SUMIFS('Previdência_(série)'!$L$2:$L$166,'Previdência_(série)'!$A$2:$A$166,"&gt;"&amp;EDATE('Previdência_(série)'!$A97,-12),'Previdência_(série)'!$A$2:$A$166,"&lt;"&amp;EDATE(A97,1))</f>
        <v>69506444251.28</v>
      </c>
      <c r="N97" s="5">
        <v>2649782581.2</v>
      </c>
      <c r="O97" s="5">
        <f>IF(MONTH('Previdência_(série)'!$A97)=1,'Previdência_(série)'!$N97,'Previdência_(série)'!$N97-N96)</f>
        <v>222608640.59</v>
      </c>
      <c r="P97" s="5">
        <f>SUMIFS('Previdência_(série)'!$O$2:$O$166,'Previdência_(série)'!$A$2:$A$166,"&gt;"&amp;EDATE('Previdência_(série)'!$A97,-12),'Previdência_(série)'!$A$2:$A$166,"&lt;"&amp;EDATE(A97,1))</f>
        <v>2649782581.2</v>
      </c>
      <c r="Q97" s="5">
        <v>35156563650.58</v>
      </c>
      <c r="R97" s="5">
        <f>IF(MONTH('Previdência_(série)'!$A97)=1,'Previdência_(série)'!$Q97,'Previdência_(série)'!$Q97-Q96)</f>
        <v>2766424791.19</v>
      </c>
      <c r="S97" s="5">
        <f>SUMIFS('Previdência_(série)'!$R$2:$R$166,'Previdência_(série)'!$A$2:$A$166,"&gt;"&amp;EDATE('Previdência_(série)'!$A97,-12),'Previdência_(série)'!$A$2:$A$166,"&lt;"&amp;EDATE(A97,1))</f>
        <v>35156563650.58</v>
      </c>
      <c r="T97" s="5"/>
      <c r="U97" s="5">
        <f>IF(MONTH('Previdência_(série)'!$A97)=1,'Previdência_(série)'!$T97,'Previdência_(série)'!$T97-T96)</f>
        <v>0</v>
      </c>
      <c r="V97" s="5">
        <f>SUMIFS('Previdência_(série)'!$U$2:$U$166,'Previdência_(série)'!$A$2:$A$166,"&gt;"&amp;EDATE('Previdência_(série)'!$A97,-12),'Previdência_(série)'!$A$2:$A$166,"&lt;"&amp;EDATE(A97,1))</f>
        <v>0</v>
      </c>
      <c r="W97" s="5"/>
      <c r="X97" s="5">
        <f>IF(MONTH('Previdência_(série)'!$A97)=1,'Previdência_(série)'!$W97,'Previdência_(série)'!$W97-W96)</f>
        <v>0</v>
      </c>
      <c r="Y97" s="5">
        <f>SUMIFS('Previdência_(série)'!$X$2:$X$166,'Previdência_(série)'!$A$2:$A$166,"&gt;"&amp;EDATE('Previdência_(série)'!$A97,-12),'Previdência_(série)'!$A$2:$A$166,"&lt;"&amp;EDATE(A97,1))</f>
        <v>0</v>
      </c>
      <c r="Z97" s="199"/>
      <c r="AA97" s="1"/>
      <c r="AB97" s="1"/>
      <c r="AC97" s="1"/>
      <c r="AD97" s="4" t="s">
        <v>597</v>
      </c>
      <c r="AE97" s="17">
        <v>42339</v>
      </c>
      <c r="AF97" s="4">
        <v>2015</v>
      </c>
    </row>
    <row ht="13.8" outlineLevel="0" r="98">
      <c r="A98" s="17">
        <v>42370</v>
      </c>
      <c r="B98" s="5">
        <v>29409540258.4</v>
      </c>
      <c r="C98" s="5">
        <f>IF(MONTH('Previdência_(série)'!$A98)=1,'Previdência_(série)'!$B98,'Previdência_(série)'!$B98-B97)</f>
        <v>29409540258.4</v>
      </c>
      <c r="D98" s="5">
        <f>SUMIFS('Previdência_(série)'!$C$2:$C$166,'Previdência_(série)'!$A$2:$A$166,"&gt;"&amp;EDATE('Previdência_(série)'!$A98,-12),'Previdência_(série)'!$A$2:$A$166,"&lt;"&amp;EDATE(A98,1))</f>
        <v>353095607655.63</v>
      </c>
      <c r="E98" s="5">
        <v>38603683207.53</v>
      </c>
      <c r="F98" s="5">
        <f>IF(MONTH('Previdência_(série)'!$A98)=1,'Previdência_(série)'!$E98,'Previdência_(série)'!$E98-E97)</f>
        <v>38603683207.53</v>
      </c>
      <c r="G98" s="5">
        <f>SUMIFS('Previdência_(série)'!$F$2:$F$166,'Previdência_(série)'!$A$2:$A$166,"&gt;"&amp;EDATE('Previdência_(série)'!$A98,-12),'Previdência_(série)'!$A$2:$A$166,"&lt;"&amp;EDATE(A98,1))</f>
        <v>444275833483.56</v>
      </c>
      <c r="H98" s="5">
        <v>2300417296.5</v>
      </c>
      <c r="I98" s="5">
        <f>IF(MONTH('Previdência_(série)'!$A98)=1,'Previdência_(série)'!$H98,'Previdência_(série)'!$H98-H97)</f>
        <v>2300417296.5</v>
      </c>
      <c r="J98" s="5">
        <f>SUMIFS('Previdência_(série)'!$I$2:$I$166,'Previdência_(série)'!$A$2:$A$166,"&gt;"&amp;EDATE('Previdência_(série)'!$A98,-12),'Previdência_(série)'!$A$2:$A$166,"&lt;"&amp;EDATE(A98,1))</f>
        <v>29387735062.01</v>
      </c>
      <c r="K98" s="5">
        <v>5677758386.06</v>
      </c>
      <c r="L98" s="5">
        <f>IF(MONTH('Previdência_(série)'!$A98)=1,'Previdência_(série)'!$K98,'Previdência_(série)'!$K98-K97)</f>
        <v>5677758386.06</v>
      </c>
      <c r="M98" s="5">
        <f>SUMIFS('Previdência_(série)'!$L$2:$L$166,'Previdência_(série)'!$A$2:$A$166,"&gt;"&amp;EDATE('Previdência_(série)'!$A98,-12),'Previdência_(série)'!$A$2:$A$166,"&lt;"&amp;EDATE(A98,1))</f>
        <v>69883694916.58</v>
      </c>
      <c r="N98" s="5">
        <v>168957715.74</v>
      </c>
      <c r="O98" s="5">
        <f>IF(MONTH('Previdência_(série)'!$A98)=1,'Previdência_(série)'!$N98,'Previdência_(série)'!$N98-N97)</f>
        <v>168957715.74</v>
      </c>
      <c r="P98" s="5">
        <f>SUMIFS('Previdência_(série)'!$O$2:$O$166,'Previdência_(série)'!$A$2:$A$166,"&gt;"&amp;EDATE('Previdência_(série)'!$A98,-12),'Previdência_(série)'!$A$2:$A$166,"&lt;"&amp;EDATE(A98,1))</f>
        <v>2665979543.74</v>
      </c>
      <c r="Q98" s="5">
        <v>2770950724.72</v>
      </c>
      <c r="R98" s="5">
        <f>IF(MONTH('Previdência_(série)'!$A98)=1,'Previdência_(série)'!$Q98,'Previdência_(série)'!$Q98-Q97)</f>
        <v>2770950724.72</v>
      </c>
      <c r="S98" s="5">
        <f>SUMIFS('Previdência_(série)'!$R$2:$R$166,'Previdência_(série)'!$A$2:$A$166,"&gt;"&amp;EDATE('Previdência_(série)'!$A98,-12),'Previdência_(série)'!$A$2:$A$166,"&lt;"&amp;EDATE(A98,1))</f>
        <v>35443658786.48</v>
      </c>
      <c r="T98" s="5"/>
      <c r="U98" s="5" t="s">
        <f>IF(MONTH('Previdência_(série)'!$A98)=1,'Previdência_(série)'!$T98,'Previdência_(série)'!$T98-T97)</f>
      </c>
      <c r="V98" s="5">
        <f>SUMIFS('Previdência_(série)'!$U$2:$U$166,'Previdência_(série)'!$A$2:$A$166,"&gt;"&amp;EDATE('Previdência_(série)'!$A98,-12),'Previdência_(série)'!$A$2:$A$166,"&lt;"&amp;EDATE(A98,1))</f>
        <v>0</v>
      </c>
      <c r="W98" s="5"/>
      <c r="X98" s="5" t="s">
        <f>IF(MONTH('Previdência_(série)'!$A98)=1,'Previdência_(série)'!$W98,'Previdência_(série)'!$W98-W97)</f>
      </c>
      <c r="Y98" s="5">
        <f>SUMIFS('Previdência_(série)'!$X$2:$X$166,'Previdência_(série)'!$A$2:$A$166,"&gt;"&amp;EDATE('Previdência_(série)'!$A98,-12),'Previdência_(série)'!$A$2:$A$166,"&lt;"&amp;EDATE(A98,1))</f>
        <v>0</v>
      </c>
      <c r="Z98" s="199"/>
      <c r="AA98" s="1"/>
      <c r="AB98" s="1"/>
      <c r="AC98" s="1"/>
      <c r="AD98" s="4" t="s">
        <v>586</v>
      </c>
      <c r="AE98" s="17">
        <v>42370</v>
      </c>
      <c r="AF98" s="4">
        <v>2016</v>
      </c>
    </row>
    <row ht="13.8" outlineLevel="0" r="99">
      <c r="A99" s="17">
        <v>42401</v>
      </c>
      <c r="B99" s="5">
        <v>57694306230.41</v>
      </c>
      <c r="C99" s="5">
        <f>IF(MONTH('Previdência_(série)'!$A99)=1,'Previdência_(série)'!$B99,'Previdência_(série)'!$B99-B98)</f>
        <v>28284765972.01</v>
      </c>
      <c r="D99" s="5">
        <f>SUMIFS('Previdência_(série)'!$C$2:$C$166,'Previdência_(série)'!$A$2:$A$166,"&gt;"&amp;EDATE('Previdência_(série)'!$A99,-12),'Previdência_(série)'!$A$2:$A$166,"&lt;"&amp;EDATE(A99,1))</f>
        <v>354284415261.77</v>
      </c>
      <c r="E99" s="5">
        <v>76835658276.66</v>
      </c>
      <c r="F99" s="5">
        <f>IF(MONTH('Previdência_(série)'!$A99)=1,'Previdência_(série)'!$E99,'Previdência_(série)'!$E99-E98)</f>
        <v>38231975069.13</v>
      </c>
      <c r="G99" s="5">
        <f>SUMIFS('Previdência_(série)'!$F$2:$F$166,'Previdência_(série)'!$A$2:$A$166,"&gt;"&amp;EDATE('Previdência_(série)'!$A99,-12),'Previdência_(série)'!$A$2:$A$166,"&lt;"&amp;EDATE(A99,1))</f>
        <v>449433274166.45</v>
      </c>
      <c r="H99" s="5">
        <v>4508978817.39</v>
      </c>
      <c r="I99" s="5">
        <f>IF(MONTH('Previdência_(série)'!$A99)=1,'Previdência_(série)'!$H99,'Previdência_(série)'!$H99-H98)</f>
        <v>2208561520.89</v>
      </c>
      <c r="J99" s="5">
        <f>SUMIFS('Previdência_(série)'!$I$2:$I$166,'Previdência_(série)'!$A$2:$A$166,"&gt;"&amp;EDATE('Previdência_(série)'!$A99,-12),'Previdência_(série)'!$A$2:$A$166,"&lt;"&amp;EDATE(A99,1))</f>
        <v>29420779034.62</v>
      </c>
      <c r="K99" s="5">
        <v>11097198642.44</v>
      </c>
      <c r="L99" s="5">
        <f>IF(MONTH('Previdência_(série)'!$A99)=1,'Previdência_(série)'!$K99,'Previdência_(série)'!$K99-K98)</f>
        <v>5419440256.38</v>
      </c>
      <c r="M99" s="5">
        <f>SUMIFS('Previdência_(série)'!$L$2:$L$166,'Previdência_(série)'!$A$2:$A$166,"&gt;"&amp;EDATE('Previdência_(série)'!$A99,-12),'Previdência_(série)'!$A$2:$A$166,"&lt;"&amp;EDATE(A99,1))</f>
        <v>69979691628.76</v>
      </c>
      <c r="N99" s="5">
        <v>455481820.41</v>
      </c>
      <c r="O99" s="5">
        <f>IF(MONTH('Previdência_(série)'!$A99)=1,'Previdência_(série)'!$N99,'Previdência_(série)'!$N99-N98)</f>
        <v>286524104.67</v>
      </c>
      <c r="P99" s="5">
        <f>SUMIFS('Previdência_(série)'!$O$2:$O$166,'Previdência_(série)'!$A$2:$A$166,"&gt;"&amp;EDATE('Previdência_(série)'!$A99,-12),'Previdência_(série)'!$A$2:$A$166,"&lt;"&amp;EDATE(A99,1))</f>
        <v>2747930978.01</v>
      </c>
      <c r="Q99" s="5">
        <v>5526336417.78</v>
      </c>
      <c r="R99" s="5">
        <f>IF(MONTH('Previdência_(série)'!$A99)=1,'Previdência_(série)'!$Q99,'Previdência_(série)'!$Q99-Q98)</f>
        <v>2755385693.06</v>
      </c>
      <c r="S99" s="5">
        <f>SUMIFS('Previdência_(série)'!$R$2:$R$166,'Previdência_(série)'!$A$2:$A$166,"&gt;"&amp;EDATE('Previdência_(série)'!$A99,-12),'Previdência_(série)'!$A$2:$A$166,"&lt;"&amp;EDATE(A99,1))</f>
        <v>35701080658.9</v>
      </c>
      <c r="T99" s="5"/>
      <c r="U99" s="5">
        <f>IF(MONTH('Previdência_(série)'!$A99)=1,'Previdência_(série)'!$T99,'Previdência_(série)'!$T99-T98)</f>
        <v>0</v>
      </c>
      <c r="V99" s="5">
        <f>SUMIFS('Previdência_(série)'!$U$2:$U$166,'Previdência_(série)'!$A$2:$A$166,"&gt;"&amp;EDATE('Previdência_(série)'!$A99,-12),'Previdência_(série)'!$A$2:$A$166,"&lt;"&amp;EDATE(A99,1))</f>
        <v>0</v>
      </c>
      <c r="W99" s="5"/>
      <c r="X99" s="5">
        <f>IF(MONTH('Previdência_(série)'!$A99)=1,'Previdência_(série)'!$W99,'Previdência_(série)'!$W99-W98)</f>
        <v>0</v>
      </c>
      <c r="Y99" s="5">
        <f>SUMIFS('Previdência_(série)'!$X$2:$X$166,'Previdência_(série)'!$A$2:$A$166,"&gt;"&amp;EDATE('Previdência_(série)'!$A99,-12),'Previdência_(série)'!$A$2:$A$166,"&lt;"&amp;EDATE(A99,1))</f>
        <v>0</v>
      </c>
      <c r="Z99" s="199"/>
      <c r="AA99" s="1"/>
      <c r="AB99" s="1"/>
      <c r="AC99" s="1"/>
      <c r="AD99" s="4" t="s">
        <v>587</v>
      </c>
      <c r="AE99" s="17">
        <v>42401</v>
      </c>
      <c r="AF99" s="4">
        <v>2016</v>
      </c>
    </row>
    <row ht="13.8" outlineLevel="0" r="100">
      <c r="A100" s="17">
        <v>42430</v>
      </c>
      <c r="B100" s="5">
        <v>86316638497.5</v>
      </c>
      <c r="C100" s="5">
        <f>IF(MONTH('Previdência_(série)'!$A100)=1,'Previdência_(série)'!$B100,'Previdência_(série)'!$B100-B99)</f>
        <v>28622332267.09</v>
      </c>
      <c r="D100" s="5">
        <f>SUMIFS('Previdência_(série)'!$C$2:$C$166,'Previdência_(série)'!$A$2:$A$166,"&gt;"&amp;EDATE('Previdência_(série)'!$A100,-12),'Previdência_(série)'!$A$2:$A$166,"&lt;"&amp;EDATE(A100,1))</f>
        <v>355710250037.64</v>
      </c>
      <c r="E100" s="5">
        <v>115998475515.51</v>
      </c>
      <c r="F100" s="5">
        <f>IF(MONTH('Previdência_(série)'!$A100)=1,'Previdência_(série)'!$E100,'Previdência_(série)'!$E100-E99)</f>
        <v>39162817238.85</v>
      </c>
      <c r="G100" s="5">
        <f>SUMIFS('Previdência_(série)'!$F$2:$F$166,'Previdência_(série)'!$A$2:$A$166,"&gt;"&amp;EDATE('Previdência_(série)'!$A100,-12),'Previdência_(série)'!$A$2:$A$166,"&lt;"&amp;EDATE(A100,1))</f>
        <v>454880064738.4</v>
      </c>
      <c r="H100" s="5">
        <v>6808761958.27</v>
      </c>
      <c r="I100" s="5">
        <f>IF(MONTH('Previdência_(série)'!$A100)=1,'Previdência_(série)'!$H100,'Previdência_(série)'!$H100-H99)</f>
        <v>2299783140.88</v>
      </c>
      <c r="J100" s="5">
        <f>SUMIFS('Previdência_(série)'!$I$2:$I$166,'Previdência_(série)'!$A$2:$A$166,"&gt;"&amp;EDATE('Previdência_(série)'!$A100,-12),'Previdência_(série)'!$A$2:$A$166,"&lt;"&amp;EDATE(A100,1))</f>
        <v>29397651183.8</v>
      </c>
      <c r="K100" s="5">
        <v>16568828698.05</v>
      </c>
      <c r="L100" s="5">
        <f>IF(MONTH('Previdência_(série)'!$A100)=1,'Previdência_(série)'!$K100,'Previdência_(série)'!$K100-K99)</f>
        <v>5471630055.61</v>
      </c>
      <c r="M100" s="5">
        <f>SUMIFS('Previdência_(série)'!$L$2:$L$166,'Previdência_(série)'!$A$2:$A$166,"&gt;"&amp;EDATE('Previdência_(série)'!$A100,-12),'Previdência_(série)'!$A$2:$A$166,"&lt;"&amp;EDATE(A100,1))</f>
        <v>70028776840.54</v>
      </c>
      <c r="N100" s="5">
        <v>682564023.06</v>
      </c>
      <c r="O100" s="5">
        <f>IF(MONTH('Previdência_(série)'!$A100)=1,'Previdência_(série)'!$N100,'Previdência_(série)'!$N100-N99)</f>
        <v>227082202.65</v>
      </c>
      <c r="P100" s="5">
        <f>SUMIFS('Previdência_(série)'!$O$2:$O$166,'Previdência_(série)'!$A$2:$A$166,"&gt;"&amp;EDATE('Previdência_(série)'!$A100,-12),'Previdência_(série)'!$A$2:$A$166,"&lt;"&amp;EDATE(A100,1))</f>
        <v>2756315836.92</v>
      </c>
      <c r="Q100" s="5">
        <v>8296481909.24</v>
      </c>
      <c r="R100" s="5">
        <f>IF(MONTH('Previdência_(série)'!$A100)=1,'Previdência_(série)'!$Q100,'Previdência_(série)'!$Q100-Q99)</f>
        <v>2770145491.46</v>
      </c>
      <c r="S100" s="5">
        <f>SUMIFS('Previdência_(série)'!$R$2:$R$166,'Previdência_(série)'!$A$2:$A$166,"&gt;"&amp;EDATE('Previdência_(série)'!$A100,-12),'Previdência_(série)'!$A$2:$A$166,"&lt;"&amp;EDATE(A100,1))</f>
        <v>35756711521.59</v>
      </c>
      <c r="T100" s="5"/>
      <c r="U100" s="5">
        <f>IF(MONTH('Previdência_(série)'!$A100)=1,'Previdência_(série)'!$T100,'Previdência_(série)'!$T100-T99)</f>
        <v>0</v>
      </c>
      <c r="V100" s="5">
        <f>SUMIFS('Previdência_(série)'!$U$2:$U$166,'Previdência_(série)'!$A$2:$A$166,"&gt;"&amp;EDATE('Previdência_(série)'!$A100,-12),'Previdência_(série)'!$A$2:$A$166,"&lt;"&amp;EDATE(A100,1))</f>
        <v>0</v>
      </c>
      <c r="W100" s="5"/>
      <c r="X100" s="5">
        <f>IF(MONTH('Previdência_(série)'!$A100)=1,'Previdência_(série)'!$W100,'Previdência_(série)'!$W100-W99)</f>
        <v>0</v>
      </c>
      <c r="Y100" s="5">
        <f>SUMIFS('Previdência_(série)'!$X$2:$X$166,'Previdência_(série)'!$A$2:$A$166,"&gt;"&amp;EDATE('Previdência_(série)'!$A100,-12),'Previdência_(série)'!$A$2:$A$166,"&lt;"&amp;EDATE(A100,1))</f>
        <v>0</v>
      </c>
      <c r="Z100" s="199"/>
      <c r="AA100" s="1"/>
      <c r="AB100" s="1"/>
      <c r="AC100" s="1"/>
      <c r="AD100" s="4" t="s">
        <v>588</v>
      </c>
      <c r="AE100" s="17">
        <v>42430</v>
      </c>
      <c r="AF100" s="4">
        <v>2016</v>
      </c>
    </row>
    <row ht="13.8" outlineLevel="0" r="101">
      <c r="A101" s="17">
        <v>42461</v>
      </c>
      <c r="B101" s="5">
        <v>117055500264.02</v>
      </c>
      <c r="C101" s="5">
        <f>IF(MONTH('Previdência_(série)'!$A101)=1,'Previdência_(série)'!$B101,'Previdência_(série)'!$B101-B100)</f>
        <v>30738861766.52</v>
      </c>
      <c r="D101" s="5">
        <f>SUMIFS('Previdência_(série)'!$C$2:$C$166,'Previdência_(série)'!$A$2:$A$166,"&gt;"&amp;EDATE('Previdência_(série)'!$A101,-12),'Previdência_(série)'!$A$2:$A$166,"&lt;"&amp;EDATE(A101,1))</f>
        <v>356002621482.51</v>
      </c>
      <c r="E101" s="5">
        <v>155149241890.73</v>
      </c>
      <c r="F101" s="5">
        <f>IF(MONTH('Previdência_(série)'!$A101)=1,'Previdência_(série)'!$E101,'Previdência_(série)'!$E101-E100)</f>
        <v>39150766375.22</v>
      </c>
      <c r="G101" s="5">
        <f>SUMIFS('Previdência_(série)'!$F$2:$F$166,'Previdência_(série)'!$A$2:$A$166,"&gt;"&amp;EDATE('Previdência_(série)'!$A101,-12),'Previdência_(série)'!$A$2:$A$166,"&lt;"&amp;EDATE(A101,1))</f>
        <v>460187993978.28</v>
      </c>
      <c r="H101" s="5">
        <v>9037876349.03</v>
      </c>
      <c r="I101" s="5">
        <f>IF(MONTH('Previdência_(série)'!$A101)=1,'Previdência_(série)'!$H101,'Previdência_(série)'!$H101-H100)</f>
        <v>2229114390.76</v>
      </c>
      <c r="J101" s="5">
        <f>SUMIFS('Previdência_(série)'!$I$2:$I$166,'Previdência_(série)'!$A$2:$A$166,"&gt;"&amp;EDATE('Previdência_(série)'!$A101,-12),'Previdência_(série)'!$A$2:$A$166,"&lt;"&amp;EDATE(A101,1))</f>
        <v>29452473651.39</v>
      </c>
      <c r="K101" s="5">
        <v>22079234075.28</v>
      </c>
      <c r="L101" s="5">
        <f>IF(MONTH('Previdência_(série)'!$A101)=1,'Previdência_(série)'!$K101,'Previdência_(série)'!$K101-K100)</f>
        <v>5510405377.23</v>
      </c>
      <c r="M101" s="5">
        <f>SUMIFS('Previdência_(série)'!$L$2:$L$166,'Previdência_(série)'!$A$2:$A$166,"&gt;"&amp;EDATE('Previdência_(série)'!$A101,-12),'Previdência_(série)'!$A$2:$A$166,"&lt;"&amp;EDATE(A101,1))</f>
        <v>70375844742.68</v>
      </c>
      <c r="N101" s="5">
        <v>909861300.01</v>
      </c>
      <c r="O101" s="5">
        <f>IF(MONTH('Previdência_(série)'!$A101)=1,'Previdência_(série)'!$N101,'Previdência_(série)'!$N101-N100)</f>
        <v>227297276.95</v>
      </c>
      <c r="P101" s="5">
        <f>SUMIFS('Previdência_(série)'!$O$2:$O$166,'Previdência_(série)'!$A$2:$A$166,"&gt;"&amp;EDATE('Previdência_(série)'!$A101,-12),'Previdência_(série)'!$A$2:$A$166,"&lt;"&amp;EDATE(A101,1))</f>
        <v>2759407854.31</v>
      </c>
      <c r="Q101" s="5">
        <v>11065049549.83</v>
      </c>
      <c r="R101" s="5">
        <f>IF(MONTH('Previdência_(série)'!$A101)=1,'Previdência_(série)'!$Q101,'Previdência_(série)'!$Q101-Q100)</f>
        <v>2768567640.59</v>
      </c>
      <c r="S101" s="5">
        <f>SUMIFS('Previdência_(série)'!$R$2:$R$166,'Previdência_(série)'!$A$2:$A$166,"&gt;"&amp;EDATE('Previdência_(série)'!$A101,-12),'Previdência_(série)'!$A$2:$A$166,"&lt;"&amp;EDATE(A101,1))</f>
        <v>35795580709.03</v>
      </c>
      <c r="T101" s="5"/>
      <c r="U101" s="5">
        <f>IF(MONTH('Previdência_(série)'!$A101)=1,'Previdência_(série)'!$T101,'Previdência_(série)'!$T101-T100)</f>
        <v>0</v>
      </c>
      <c r="V101" s="5">
        <f>SUMIFS('Previdência_(série)'!$U$2:$U$166,'Previdência_(série)'!$A$2:$A$166,"&gt;"&amp;EDATE('Previdência_(série)'!$A101,-12),'Previdência_(série)'!$A$2:$A$166,"&lt;"&amp;EDATE(A101,1))</f>
        <v>0</v>
      </c>
      <c r="W101" s="5"/>
      <c r="X101" s="5">
        <f>IF(MONTH('Previdência_(série)'!$A101)=1,'Previdência_(série)'!$W101,'Previdência_(série)'!$W101-W100)</f>
        <v>0</v>
      </c>
      <c r="Y101" s="5">
        <f>SUMIFS('Previdência_(série)'!$X$2:$X$166,'Previdência_(série)'!$A$2:$A$166,"&gt;"&amp;EDATE('Previdência_(série)'!$A101,-12),'Previdência_(série)'!$A$2:$A$166,"&lt;"&amp;EDATE(A101,1))</f>
        <v>0</v>
      </c>
      <c r="Z101" s="199"/>
      <c r="AA101" s="1"/>
      <c r="AB101" s="1"/>
      <c r="AC101" s="1"/>
      <c r="AD101" s="4" t="s">
        <v>589</v>
      </c>
      <c r="AE101" s="17">
        <v>42461</v>
      </c>
      <c r="AF101" s="4">
        <v>2016</v>
      </c>
    </row>
    <row ht="13.8" outlineLevel="0" r="102">
      <c r="A102" s="17">
        <v>42491</v>
      </c>
      <c r="B102" s="5">
        <v>145424276423.2</v>
      </c>
      <c r="C102" s="5">
        <f>IF(MONTH('Previdência_(série)'!$A102)=1,'Previdência_(série)'!$B102,'Previdência_(série)'!$B102-B101)</f>
        <v>28368776159.18</v>
      </c>
      <c r="D102" s="5">
        <f>SUMIFS('Previdência_(série)'!$C$2:$C$166,'Previdência_(série)'!$A$2:$A$166,"&gt;"&amp;EDATE('Previdência_(série)'!$A102,-12),'Previdência_(série)'!$A$2:$A$166,"&lt;"&amp;EDATE(A102,1))</f>
        <v>355966951477.11</v>
      </c>
      <c r="E102" s="5">
        <v>195667609046.78</v>
      </c>
      <c r="F102" s="5">
        <f>IF(MONTH('Previdência_(série)'!$A102)=1,'Previdência_(série)'!$E102,'Previdência_(série)'!$E102-E101)</f>
        <v>40518367156.05</v>
      </c>
      <c r="G102" s="5">
        <f>SUMIFS('Previdência_(série)'!$F$2:$F$166,'Previdência_(série)'!$A$2:$A$166,"&gt;"&amp;EDATE('Previdência_(série)'!$A102,-12),'Previdência_(série)'!$A$2:$A$166,"&lt;"&amp;EDATE(A102,1))</f>
        <v>466018691695.35</v>
      </c>
      <c r="H102" s="5">
        <v>11417366944.88</v>
      </c>
      <c r="I102" s="5">
        <f>IF(MONTH('Previdência_(série)'!$A102)=1,'Previdência_(série)'!$H102,'Previdência_(série)'!$H102-H101)</f>
        <v>2379490595.85</v>
      </c>
      <c r="J102" s="5">
        <f>SUMIFS('Previdência_(série)'!$I$2:$I$166,'Previdência_(série)'!$A$2:$A$166,"&gt;"&amp;EDATE('Previdência_(série)'!$A102,-12),'Previdência_(série)'!$A$2:$A$166,"&lt;"&amp;EDATE(A102,1))</f>
        <v>29557800714.97</v>
      </c>
      <c r="K102" s="5">
        <v>27675789534.86</v>
      </c>
      <c r="L102" s="5">
        <f>IF(MONTH('Previdência_(série)'!$A102)=1,'Previdência_(série)'!$K102,'Previdência_(série)'!$K102-K101)</f>
        <v>5596555459.58</v>
      </c>
      <c r="M102" s="5">
        <f>SUMIFS('Previdência_(série)'!$L$2:$L$166,'Previdência_(série)'!$A$2:$A$166,"&gt;"&amp;EDATE('Previdência_(série)'!$A102,-12),'Previdência_(série)'!$A$2:$A$166,"&lt;"&amp;EDATE(A102,1))</f>
        <v>70618100557.77</v>
      </c>
      <c r="N102" s="5">
        <v>1136971942.46</v>
      </c>
      <c r="O102" s="5">
        <f>IF(MONTH('Previdência_(série)'!$A102)=1,'Previdência_(série)'!$N102,'Previdência_(série)'!$N102-N101)</f>
        <v>227110642.45</v>
      </c>
      <c r="P102" s="5">
        <f>SUMIFS('Previdência_(série)'!$O$2:$O$166,'Previdência_(série)'!$A$2:$A$166,"&gt;"&amp;EDATE('Previdência_(série)'!$A102,-12),'Previdência_(série)'!$A$2:$A$166,"&lt;"&amp;EDATE(A102,1))</f>
        <v>2707872133.09</v>
      </c>
      <c r="Q102" s="5">
        <v>13839242266.44</v>
      </c>
      <c r="R102" s="5">
        <f>IF(MONTH('Previdência_(série)'!$A102)=1,'Previdência_(série)'!$Q102,'Previdência_(série)'!$Q102-Q101)</f>
        <v>2774192716.61</v>
      </c>
      <c r="S102" s="5">
        <f>SUMIFS('Previdência_(série)'!$R$2:$R$166,'Previdência_(série)'!$A$2:$A$166,"&gt;"&amp;EDATE('Previdência_(série)'!$A102,-12),'Previdência_(série)'!$A$2:$A$166,"&lt;"&amp;EDATE(A102,1))</f>
        <v>35831133798.26</v>
      </c>
      <c r="T102" s="5"/>
      <c r="U102" s="5">
        <f>IF(MONTH('Previdência_(série)'!$A102)=1,'Previdência_(série)'!$T102,'Previdência_(série)'!$T102-T101)</f>
        <v>0</v>
      </c>
      <c r="V102" s="5">
        <f>SUMIFS('Previdência_(série)'!$U$2:$U$166,'Previdência_(série)'!$A$2:$A$166,"&gt;"&amp;EDATE('Previdência_(série)'!$A102,-12),'Previdência_(série)'!$A$2:$A$166,"&lt;"&amp;EDATE(A102,1))</f>
        <v>0</v>
      </c>
      <c r="W102" s="5"/>
      <c r="X102" s="5">
        <f>IF(MONTH('Previdência_(série)'!$A102)=1,'Previdência_(série)'!$W102,'Previdência_(série)'!$W102-W101)</f>
        <v>0</v>
      </c>
      <c r="Y102" s="5">
        <f>SUMIFS('Previdência_(série)'!$X$2:$X$166,'Previdência_(série)'!$A$2:$A$166,"&gt;"&amp;EDATE('Previdência_(série)'!$A102,-12),'Previdência_(série)'!$A$2:$A$166,"&lt;"&amp;EDATE(A102,1))</f>
        <v>0</v>
      </c>
      <c r="Z102" s="199"/>
      <c r="AA102" s="1"/>
      <c r="AB102" s="1"/>
      <c r="AC102" s="1"/>
      <c r="AD102" s="4" t="s">
        <v>590</v>
      </c>
      <c r="AE102" s="17">
        <v>42491</v>
      </c>
      <c r="AF102" s="4">
        <v>2016</v>
      </c>
    </row>
    <row ht="13.8" outlineLevel="0" r="103">
      <c r="A103" s="17">
        <v>42522</v>
      </c>
      <c r="B103" s="5">
        <v>174357215812.96</v>
      </c>
      <c r="C103" s="5">
        <f>IF(MONTH('Previdência_(série)'!$A103)=1,'Previdência_(série)'!$B103,'Previdência_(série)'!$B103-B102)</f>
        <v>28932939389.76</v>
      </c>
      <c r="D103" s="5">
        <f>SUMIFS('Previdência_(série)'!$C$2:$C$166,'Previdência_(série)'!$A$2:$A$166,"&gt;"&amp;EDATE('Previdência_(série)'!$A103,-12),'Previdência_(série)'!$A$2:$A$166,"&lt;"&amp;EDATE(A103,1))</f>
        <v>357166780423.6</v>
      </c>
      <c r="E103" s="5">
        <v>235014530101.4</v>
      </c>
      <c r="F103" s="5">
        <f>IF(MONTH('Previdência_(série)'!$A103)=1,'Previdência_(série)'!$E103,'Previdência_(série)'!$E103-E102)</f>
        <v>39346921054.62</v>
      </c>
      <c r="G103" s="5">
        <f>SUMIFS('Previdência_(série)'!$F$2:$F$166,'Previdência_(série)'!$A$2:$A$166,"&gt;"&amp;EDATE('Previdência_(série)'!$A103,-12),'Previdência_(série)'!$A$2:$A$166,"&lt;"&amp;EDATE(A103,1))</f>
        <v>471583558888.22</v>
      </c>
      <c r="H103" s="5">
        <v>13638847498.95</v>
      </c>
      <c r="I103" s="5">
        <f>IF(MONTH('Previdência_(série)'!$A103)=1,'Previdência_(série)'!$H103,'Previdência_(série)'!$H103-H102)</f>
        <v>2221480554.07</v>
      </c>
      <c r="J103" s="5">
        <f>SUMIFS('Previdência_(série)'!$I$2:$I$166,'Previdência_(série)'!$A$2:$A$166,"&gt;"&amp;EDATE('Previdência_(série)'!$A103,-12),'Previdência_(série)'!$A$2:$A$166,"&lt;"&amp;EDATE(A103,1))</f>
        <v>29510070876.24</v>
      </c>
      <c r="K103" s="5">
        <v>35547352009.99</v>
      </c>
      <c r="L103" s="5">
        <f>IF(MONTH('Previdência_(série)'!$A103)=1,'Previdência_(série)'!$K103,'Previdência_(série)'!$K103-K102)</f>
        <v>7871562475.13</v>
      </c>
      <c r="M103" s="5">
        <f>SUMIFS('Previdência_(série)'!$L$2:$L$166,'Previdência_(série)'!$A$2:$A$166,"&gt;"&amp;EDATE('Previdência_(série)'!$A103,-12),'Previdência_(série)'!$A$2:$A$166,"&lt;"&amp;EDATE(A103,1))</f>
        <v>70869625456.08</v>
      </c>
      <c r="N103" s="5">
        <v>1364298588.18</v>
      </c>
      <c r="O103" s="5">
        <f>IF(MONTH('Previdência_(série)'!$A103)=1,'Previdência_(série)'!$N103,'Previdência_(série)'!$N103-N102)</f>
        <v>227326645.72</v>
      </c>
      <c r="P103" s="5">
        <f>SUMIFS('Previdência_(série)'!$O$2:$O$166,'Previdência_(série)'!$A$2:$A$166,"&gt;"&amp;EDATE('Previdência_(série)'!$A103,-12),'Previdência_(série)'!$A$2:$A$166,"&lt;"&amp;EDATE(A103,1))</f>
        <v>2710859940.34</v>
      </c>
      <c r="Q103" s="5">
        <v>17983837122.36</v>
      </c>
      <c r="R103" s="5">
        <f>IF(MONTH('Previdência_(série)'!$A103)=1,'Previdência_(série)'!$Q103,'Previdência_(série)'!$Q103-Q102)</f>
        <v>4144594855.92</v>
      </c>
      <c r="S103" s="5">
        <f>SUMIFS('Previdência_(série)'!$R$2:$R$166,'Previdência_(série)'!$A$2:$A$166,"&gt;"&amp;EDATE('Previdência_(série)'!$A103,-12),'Previdência_(série)'!$A$2:$A$166,"&lt;"&amp;EDATE(A103,1))</f>
        <v>35884674479.57</v>
      </c>
      <c r="T103" s="5"/>
      <c r="U103" s="5">
        <f>IF(MONTH('Previdência_(série)'!$A103)=1,'Previdência_(série)'!$T103,'Previdência_(série)'!$T103-T102)</f>
        <v>0</v>
      </c>
      <c r="V103" s="5">
        <f>SUMIFS('Previdência_(série)'!$U$2:$U$166,'Previdência_(série)'!$A$2:$A$166,"&gt;"&amp;EDATE('Previdência_(série)'!$A103,-12),'Previdência_(série)'!$A$2:$A$166,"&lt;"&amp;EDATE(A103,1))</f>
        <v>0</v>
      </c>
      <c r="W103" s="5"/>
      <c r="X103" s="5">
        <f>IF(MONTH('Previdência_(série)'!$A103)=1,'Previdência_(série)'!$W103,'Previdência_(série)'!$W103-W102)</f>
        <v>0</v>
      </c>
      <c r="Y103" s="5">
        <f>SUMIFS('Previdência_(série)'!$X$2:$X$166,'Previdência_(série)'!$A$2:$A$166,"&gt;"&amp;EDATE('Previdência_(série)'!$A103,-12),'Previdência_(série)'!$A$2:$A$166,"&lt;"&amp;EDATE(A103,1))</f>
        <v>0</v>
      </c>
      <c r="Z103" s="199"/>
      <c r="AA103" s="1"/>
      <c r="AB103" s="1"/>
      <c r="AC103" s="1"/>
      <c r="AD103" s="4" t="s">
        <v>591</v>
      </c>
      <c r="AE103" s="17">
        <v>42522</v>
      </c>
      <c r="AF103" s="4">
        <v>2016</v>
      </c>
    </row>
    <row ht="13.8" outlineLevel="0" r="104">
      <c r="A104" s="17">
        <v>42552</v>
      </c>
      <c r="B104" s="5">
        <v>201984945464.68</v>
      </c>
      <c r="C104" s="5">
        <f>IF(MONTH('Previdência_(série)'!$A104)=1,'Previdência_(série)'!$B104,'Previdência_(série)'!$B104-B103)</f>
        <v>27627729651.72</v>
      </c>
      <c r="D104" s="5">
        <f>SUMIFS('Previdência_(série)'!$C$2:$C$166,'Previdência_(série)'!$A$2:$A$166,"&gt;"&amp;EDATE('Previdência_(série)'!$A104,-12),'Previdência_(série)'!$A$2:$A$166,"&lt;"&amp;EDATE(A104,1))</f>
        <v>356485693286.71</v>
      </c>
      <c r="E104" s="5">
        <v>274368253398.91</v>
      </c>
      <c r="F104" s="5">
        <f>IF(MONTH('Previdência_(série)'!$A104)=1,'Previdência_(série)'!$E104,'Previdência_(série)'!$E104-E103)</f>
        <v>39353723297.51</v>
      </c>
      <c r="G104" s="5">
        <f>SUMIFS('Previdência_(série)'!$F$2:$F$166,'Previdência_(série)'!$A$2:$A$166,"&gt;"&amp;EDATE('Previdência_(série)'!$A104,-12),'Previdência_(série)'!$A$2:$A$166,"&lt;"&amp;EDATE(A104,1))</f>
        <v>477278060794.94</v>
      </c>
      <c r="H104" s="5">
        <v>15909459274.77</v>
      </c>
      <c r="I104" s="5">
        <f>IF(MONTH('Previdência_(série)'!$A104)=1,'Previdência_(série)'!$H104,'Previdência_(série)'!$H104-H103)</f>
        <v>2270611775.82</v>
      </c>
      <c r="J104" s="5">
        <f>SUMIFS('Previdência_(série)'!$I$2:$I$166,'Previdência_(série)'!$A$2:$A$166,"&gt;"&amp;EDATE('Previdência_(série)'!$A104,-12),'Previdência_(série)'!$A$2:$A$166,"&lt;"&amp;EDATE(A104,1))</f>
        <v>29526507878.43</v>
      </c>
      <c r="K104" s="5">
        <v>41233782174.05</v>
      </c>
      <c r="L104" s="5">
        <f>IF(MONTH('Previdência_(série)'!$A104)=1,'Previdência_(série)'!$K104,'Previdência_(série)'!$K104-K103)</f>
        <v>5686430164.06001</v>
      </c>
      <c r="M104" s="5">
        <f>SUMIFS('Previdência_(série)'!$L$2:$L$166,'Previdência_(série)'!$A$2:$A$166,"&gt;"&amp;EDATE('Previdência_(série)'!$A104,-12),'Previdência_(série)'!$A$2:$A$166,"&lt;"&amp;EDATE(A104,1))</f>
        <v>71234583689.19</v>
      </c>
      <c r="N104" s="5">
        <v>1591810687.06</v>
      </c>
      <c r="O104" s="5">
        <f>IF(MONTH('Previdência_(série)'!$A104)=1,'Previdência_(série)'!$N104,'Previdência_(série)'!$N104-N103)</f>
        <v>227512098.88</v>
      </c>
      <c r="P104" s="5">
        <f>SUMIFS('Previdência_(série)'!$O$2:$O$166,'Previdência_(série)'!$A$2:$A$166,"&gt;"&amp;EDATE('Previdência_(série)'!$A104,-12),'Previdência_(série)'!$A$2:$A$166,"&lt;"&amp;EDATE(A104,1))</f>
        <v>2713549696.65</v>
      </c>
      <c r="Q104" s="5">
        <v>20757439394.53</v>
      </c>
      <c r="R104" s="5">
        <f>IF(MONTH('Previdência_(série)'!$A104)=1,'Previdência_(série)'!$Q104,'Previdência_(série)'!$Q104-Q103)</f>
        <v>2773602272.17</v>
      </c>
      <c r="S104" s="5">
        <f>SUMIFS('Previdência_(série)'!$R$2:$R$166,'Previdência_(série)'!$A$2:$A$166,"&gt;"&amp;EDATE('Previdência_(série)'!$A104,-12),'Previdência_(série)'!$A$2:$A$166,"&lt;"&amp;EDATE(A104,1))</f>
        <v>35913098092.19</v>
      </c>
      <c r="T104" s="5"/>
      <c r="U104" s="5">
        <f>IF(MONTH('Previdência_(série)'!$A104)=1,'Previdência_(série)'!$T104,'Previdência_(série)'!$T104-T103)</f>
        <v>0</v>
      </c>
      <c r="V104" s="5">
        <f>SUMIFS('Previdência_(série)'!$U$2:$U$166,'Previdência_(série)'!$A$2:$A$166,"&gt;"&amp;EDATE('Previdência_(série)'!$A104,-12),'Previdência_(série)'!$A$2:$A$166,"&lt;"&amp;EDATE(A104,1))</f>
        <v>0</v>
      </c>
      <c r="W104" s="5"/>
      <c r="X104" s="5">
        <f>IF(MONTH('Previdência_(série)'!$A104)=1,'Previdência_(série)'!$W104,'Previdência_(série)'!$W104-W103)</f>
        <v>0</v>
      </c>
      <c r="Y104" s="5">
        <f>SUMIFS('Previdência_(série)'!$X$2:$X$166,'Previdência_(série)'!$A$2:$A$166,"&gt;"&amp;EDATE('Previdência_(série)'!$A104,-12),'Previdência_(série)'!$A$2:$A$166,"&lt;"&amp;EDATE(A104,1))</f>
        <v>0</v>
      </c>
      <c r="Z104" s="199"/>
      <c r="AA104" s="1"/>
      <c r="AB104" s="1"/>
      <c r="AC104" s="1"/>
      <c r="AD104" s="4" t="s">
        <v>592</v>
      </c>
      <c r="AE104" s="17">
        <v>42552</v>
      </c>
      <c r="AF104" s="4">
        <v>2016</v>
      </c>
    </row>
    <row ht="13.8" outlineLevel="0" r="105">
      <c r="A105" s="17">
        <v>42583</v>
      </c>
      <c r="B105" s="5">
        <v>230634413302.77</v>
      </c>
      <c r="C105" s="5">
        <f>IF(MONTH('Previdência_(série)'!$A105)=1,'Previdência_(série)'!$B105,'Previdência_(série)'!$B105-B104)</f>
        <v>28649467838.09</v>
      </c>
      <c r="D105" s="5">
        <f>SUMIFS('Previdência_(série)'!$C$2:$C$166,'Previdência_(série)'!$A$2:$A$166,"&gt;"&amp;EDATE('Previdência_(série)'!$A105,-12),'Previdência_(série)'!$A$2:$A$166,"&lt;"&amp;EDATE(A105,1))</f>
        <v>357320539244.45</v>
      </c>
      <c r="E105" s="5">
        <v>331896909481.12</v>
      </c>
      <c r="F105" s="5">
        <f>IF(MONTH('Previdência_(série)'!$A105)=1,'Previdência_(série)'!$E105,'Previdência_(série)'!$E105-E104)</f>
        <v>57528656082.21</v>
      </c>
      <c r="G105" s="5">
        <f>SUMIFS('Previdência_(série)'!$F$2:$F$166,'Previdência_(série)'!$A$2:$A$166,"&gt;"&amp;EDATE('Previdência_(série)'!$A105,-12),'Previdência_(série)'!$A$2:$A$166,"&lt;"&amp;EDATE(A105,1))</f>
        <v>501716851258.33</v>
      </c>
      <c r="H105" s="5">
        <v>18281333614.19</v>
      </c>
      <c r="I105" s="5">
        <f>IF(MONTH('Previdência_(série)'!$A105)=1,'Previdência_(série)'!$H105,'Previdência_(série)'!$H105-H104)</f>
        <v>2371874339.42</v>
      </c>
      <c r="J105" s="5">
        <f>SUMIFS('Previdência_(série)'!$I$2:$I$166,'Previdência_(série)'!$A$2:$A$166,"&gt;"&amp;EDATE('Previdência_(série)'!$A105,-12),'Previdência_(série)'!$A$2:$A$166,"&lt;"&amp;EDATE(A105,1))</f>
        <v>29669749729.81</v>
      </c>
      <c r="K105" s="5">
        <v>46963861054.96</v>
      </c>
      <c r="L105" s="5">
        <f>IF(MONTH('Previdência_(série)'!$A105)=1,'Previdência_(série)'!$K105,'Previdência_(série)'!$K105-K104)</f>
        <v>5730078880.91</v>
      </c>
      <c r="M105" s="5">
        <f>SUMIFS('Previdência_(série)'!$L$2:$L$166,'Previdência_(série)'!$A$2:$A$166,"&gt;"&amp;EDATE('Previdência_(série)'!$A105,-12),'Previdência_(série)'!$A$2:$A$166,"&lt;"&amp;EDATE(A105,1))</f>
        <v>71585134720.11</v>
      </c>
      <c r="N105" s="5">
        <v>1828406086.77</v>
      </c>
      <c r="O105" s="5">
        <f>IF(MONTH('Previdência_(série)'!$A105)=1,'Previdência_(série)'!$N105,'Previdência_(série)'!$N105-N104)</f>
        <v>236595399.71</v>
      </c>
      <c r="P105" s="5">
        <f>SUMIFS('Previdência_(série)'!$O$2:$O$166,'Previdência_(série)'!$A$2:$A$166,"&gt;"&amp;EDATE('Previdência_(série)'!$A105,-12),'Previdência_(série)'!$A$2:$A$166,"&lt;"&amp;EDATE(A105,1))</f>
        <v>2725554552.75</v>
      </c>
      <c r="Q105" s="5">
        <v>23692738673.37</v>
      </c>
      <c r="R105" s="5">
        <f>IF(MONTH('Previdência_(série)'!$A105)=1,'Previdência_(série)'!$Q105,'Previdência_(série)'!$Q105-Q104)</f>
        <v>2935299278.84</v>
      </c>
      <c r="S105" s="5">
        <f>SUMIFS('Previdência_(série)'!$R$2:$R$166,'Previdência_(série)'!$A$2:$A$166,"&gt;"&amp;EDATE('Previdência_(série)'!$A105,-12),'Previdência_(série)'!$A$2:$A$166,"&lt;"&amp;EDATE(A105,1))</f>
        <v>36102589393.93</v>
      </c>
      <c r="T105" s="5"/>
      <c r="U105" s="5">
        <f>IF(MONTH('Previdência_(série)'!$A105)=1,'Previdência_(série)'!$T105,'Previdência_(série)'!$T105-T104)</f>
        <v>0</v>
      </c>
      <c r="V105" s="5">
        <f>SUMIFS('Previdência_(série)'!$U$2:$U$166,'Previdência_(série)'!$A$2:$A$166,"&gt;"&amp;EDATE('Previdência_(série)'!$A105,-12),'Previdência_(série)'!$A$2:$A$166,"&lt;"&amp;EDATE(A105,1))</f>
        <v>0</v>
      </c>
      <c r="W105" s="5"/>
      <c r="X105" s="5">
        <f>IF(MONTH('Previdência_(série)'!$A105)=1,'Previdência_(série)'!$W105,'Previdência_(série)'!$W105-W104)</f>
        <v>0</v>
      </c>
      <c r="Y105" s="5">
        <f>SUMIFS('Previdência_(série)'!$X$2:$X$166,'Previdência_(série)'!$A$2:$A$166,"&gt;"&amp;EDATE('Previdência_(série)'!$A105,-12),'Previdência_(série)'!$A$2:$A$166,"&lt;"&amp;EDATE(A105,1))</f>
        <v>0</v>
      </c>
      <c r="Z105" s="199"/>
      <c r="AA105" s="1"/>
      <c r="AB105" s="1"/>
      <c r="AC105" s="1"/>
      <c r="AD105" s="4" t="s">
        <v>593</v>
      </c>
      <c r="AE105" s="17">
        <v>42583</v>
      </c>
      <c r="AF105" s="4">
        <v>2016</v>
      </c>
    </row>
    <row ht="13.8" outlineLevel="0" r="106">
      <c r="A106" s="17">
        <v>42614</v>
      </c>
      <c r="B106" s="5">
        <v>258610257389.57</v>
      </c>
      <c r="C106" s="5">
        <f>IF(MONTH('Previdência_(série)'!$A106)=1,'Previdência_(série)'!$B106,'Previdência_(série)'!$B106-B105)</f>
        <v>27975844086.8</v>
      </c>
      <c r="D106" s="5">
        <f>SUMIFS('Previdência_(série)'!$C$2:$C$166,'Previdência_(série)'!$A$2:$A$166,"&gt;"&amp;EDATE('Previdência_(série)'!$A106,-12),'Previdência_(série)'!$A$2:$A$166,"&lt;"&amp;EDATE(A106,1))</f>
        <v>357641257000.54</v>
      </c>
      <c r="E106" s="5">
        <v>371267459333.18</v>
      </c>
      <c r="F106" s="5">
        <f>IF(MONTH('Previdência_(série)'!$A106)=1,'Previdência_(série)'!$E106,'Previdência_(série)'!$E106-E105)</f>
        <v>39370549852.06</v>
      </c>
      <c r="G106" s="5">
        <f>SUMIFS('Previdência_(série)'!$F$2:$F$166,'Previdência_(série)'!$A$2:$A$166,"&gt;"&amp;EDATE('Previdência_(série)'!$A106,-12),'Previdência_(série)'!$A$2:$A$166,"&lt;"&amp;EDATE(A106,1))</f>
        <v>492508978508.61</v>
      </c>
      <c r="H106" s="5">
        <v>20635345099.94</v>
      </c>
      <c r="I106" s="5">
        <f>IF(MONTH('Previdência_(série)'!$A106)=1,'Previdência_(série)'!$H106,'Previdência_(série)'!$H106-H105)</f>
        <v>2354011485.75</v>
      </c>
      <c r="J106" s="5">
        <f>SUMIFS('Previdência_(série)'!$I$2:$I$166,'Previdência_(série)'!$A$2:$A$166,"&gt;"&amp;EDATE('Previdência_(série)'!$A106,-12),'Previdência_(série)'!$A$2:$A$166,"&lt;"&amp;EDATE(A106,1))</f>
        <v>29777488535.77</v>
      </c>
      <c r="K106" s="5">
        <v>52714248495.77</v>
      </c>
      <c r="L106" s="5">
        <f>IF(MONTH('Previdência_(série)'!$A106)=1,'Previdência_(série)'!$K106,'Previdência_(série)'!$K106-K105)</f>
        <v>5750387440.81</v>
      </c>
      <c r="M106" s="5">
        <f>SUMIFS('Previdência_(série)'!$L$2:$L$166,'Previdência_(série)'!$A$2:$A$166,"&gt;"&amp;EDATE('Previdência_(série)'!$A106,-12),'Previdência_(série)'!$A$2:$A$166,"&lt;"&amp;EDATE(A106,1))</f>
        <v>71889044727.12</v>
      </c>
      <c r="N106" s="5">
        <v>2088171669.79</v>
      </c>
      <c r="O106" s="5">
        <f>IF(MONTH('Previdência_(série)'!$A106)=1,'Previdência_(série)'!$N106,'Previdência_(série)'!$N106-N105)</f>
        <v>259765583.02</v>
      </c>
      <c r="P106" s="5">
        <f>SUMIFS('Previdência_(série)'!$O$2:$O$166,'Previdência_(série)'!$A$2:$A$166,"&gt;"&amp;EDATE('Previdência_(série)'!$A106,-12),'Previdência_(série)'!$A$2:$A$166,"&lt;"&amp;EDATE(A106,1))</f>
        <v>2760443903.07</v>
      </c>
      <c r="Q106" s="5">
        <v>26625742947.13</v>
      </c>
      <c r="R106" s="5">
        <f>IF(MONTH('Previdência_(série)'!$A106)=1,'Previdência_(série)'!$Q106,'Previdência_(série)'!$Q106-Q105)</f>
        <v>2933004273.76</v>
      </c>
      <c r="S106" s="5">
        <f>SUMIFS('Previdência_(série)'!$R$2:$R$166,'Previdência_(série)'!$A$2:$A$166,"&gt;"&amp;EDATE('Previdência_(série)'!$A106,-12),'Previdência_(série)'!$A$2:$A$166,"&lt;"&amp;EDATE(A106,1))</f>
        <v>36275117747.19</v>
      </c>
      <c r="T106" s="5"/>
      <c r="U106" s="5">
        <f>IF(MONTH('Previdência_(série)'!$A106)=1,'Previdência_(série)'!$T106,'Previdência_(série)'!$T106-T105)</f>
        <v>0</v>
      </c>
      <c r="V106" s="5">
        <f>SUMIFS('Previdência_(série)'!$U$2:$U$166,'Previdência_(série)'!$A$2:$A$166,"&gt;"&amp;EDATE('Previdência_(série)'!$A106,-12),'Previdência_(série)'!$A$2:$A$166,"&lt;"&amp;EDATE(A106,1))</f>
        <v>0</v>
      </c>
      <c r="W106" s="5"/>
      <c r="X106" s="5">
        <f>IF(MONTH('Previdência_(série)'!$A106)=1,'Previdência_(série)'!$W106,'Previdência_(série)'!$W106-W105)</f>
        <v>0</v>
      </c>
      <c r="Y106" s="5">
        <f>SUMIFS('Previdência_(série)'!$X$2:$X$166,'Previdência_(série)'!$A$2:$A$166,"&gt;"&amp;EDATE('Previdência_(série)'!$A106,-12),'Previdência_(série)'!$A$2:$A$166,"&lt;"&amp;EDATE(A106,1))</f>
        <v>0</v>
      </c>
      <c r="Z106" s="199"/>
      <c r="AA106" s="1"/>
      <c r="AB106" s="1"/>
      <c r="AC106" s="1"/>
      <c r="AD106" s="4" t="s">
        <v>594</v>
      </c>
      <c r="AE106" s="17">
        <v>42614</v>
      </c>
      <c r="AF106" s="4">
        <v>2016</v>
      </c>
    </row>
    <row ht="13.8" outlineLevel="0" r="107">
      <c r="A107" s="17">
        <v>42644</v>
      </c>
      <c r="B107" s="5">
        <v>287025255954.46</v>
      </c>
      <c r="C107" s="5">
        <f>IF(MONTH('Previdência_(série)'!$A107)=1,'Previdência_(série)'!$B107,'Previdência_(série)'!$B107-B106)</f>
        <v>28414998564.89</v>
      </c>
      <c r="D107" s="5">
        <f>SUMIFS('Previdência_(série)'!$C$2:$C$166,'Previdência_(série)'!$A$2:$A$166,"&gt;"&amp;EDATE('Previdência_(série)'!$A107,-12),'Previdência_(série)'!$A$2:$A$166,"&lt;"&amp;EDATE(A107,1))</f>
        <v>359719873195.2</v>
      </c>
      <c r="E107" s="5">
        <v>414542921606.17</v>
      </c>
      <c r="F107" s="5">
        <f>IF(MONTH('Previdência_(série)'!$A107)=1,'Previdência_(série)'!$E107,'Previdência_(série)'!$E107-E106)</f>
        <v>43275462272.99</v>
      </c>
      <c r="G107" s="5">
        <f>SUMIFS('Previdência_(série)'!$F$2:$F$166,'Previdência_(série)'!$A$2:$A$166,"&gt;"&amp;EDATE('Previdência_(série)'!$A107,-12),'Previdência_(série)'!$A$2:$A$166,"&lt;"&amp;EDATE(A107,1))</f>
        <v>501581983889.53</v>
      </c>
      <c r="H107" s="5">
        <v>23026723579.8</v>
      </c>
      <c r="I107" s="5">
        <f>IF(MONTH('Previdência_(série)'!$A107)=1,'Previdência_(série)'!$H107,'Previdência_(série)'!$H107-H106)</f>
        <v>2391378479.86</v>
      </c>
      <c r="J107" s="5">
        <f>SUMIFS('Previdência_(série)'!$I$2:$I$166,'Previdência_(série)'!$A$2:$A$166,"&gt;"&amp;EDATE('Previdência_(série)'!$A107,-12),'Previdência_(série)'!$A$2:$A$166,"&lt;"&amp;EDATE(A107,1))</f>
        <v>29940612085.67</v>
      </c>
      <c r="K107" s="5">
        <v>58698357387.72</v>
      </c>
      <c r="L107" s="5">
        <f>IF(MONTH('Previdência_(série)'!$A107)=1,'Previdência_(série)'!$K107,'Previdência_(série)'!$K107-K106)</f>
        <v>5984108891.95</v>
      </c>
      <c r="M107" s="5">
        <f>SUMIFS('Previdência_(série)'!$L$2:$L$166,'Previdência_(série)'!$A$2:$A$166,"&gt;"&amp;EDATE('Previdência_(série)'!$A107,-12),'Previdência_(série)'!$A$2:$A$166,"&lt;"&amp;EDATE(A107,1))</f>
        <v>72682112391.63</v>
      </c>
      <c r="N107" s="5">
        <v>2347927178.33</v>
      </c>
      <c r="O107" s="5">
        <f>IF(MONTH('Previdência_(série)'!$A107)=1,'Previdência_(série)'!$N107,'Previdência_(série)'!$N107-N106)</f>
        <v>259755508.54</v>
      </c>
      <c r="P107" s="5">
        <f>SUMIFS('Previdência_(série)'!$O$2:$O$166,'Previdência_(série)'!$A$2:$A$166,"&gt;"&amp;EDATE('Previdência_(série)'!$A107,-12),'Previdência_(série)'!$A$2:$A$166,"&lt;"&amp;EDATE(A107,1))</f>
        <v>2795475985.84</v>
      </c>
      <c r="Q107" s="5">
        <v>29573512481.83</v>
      </c>
      <c r="R107" s="5">
        <f>IF(MONTH('Previdência_(série)'!$A107)=1,'Previdência_(série)'!$Q107,'Previdência_(série)'!$Q107-Q106)</f>
        <v>2947769534.7</v>
      </c>
      <c r="S107" s="5">
        <f>SUMIFS('Previdência_(série)'!$R$2:$R$166,'Previdência_(série)'!$A$2:$A$166,"&gt;"&amp;EDATE('Previdência_(série)'!$A107,-12),'Previdência_(série)'!$A$2:$A$166,"&lt;"&amp;EDATE(A107,1))</f>
        <v>36464050193.93</v>
      </c>
      <c r="T107" s="5"/>
      <c r="U107" s="5">
        <f>IF(MONTH('Previdência_(série)'!$A107)=1,'Previdência_(série)'!$T107,'Previdência_(série)'!$T107-T106)</f>
        <v>0</v>
      </c>
      <c r="V107" s="5">
        <f>SUMIFS('Previdência_(série)'!$U$2:$U$166,'Previdência_(série)'!$A$2:$A$166,"&gt;"&amp;EDATE('Previdência_(série)'!$A107,-12),'Previdência_(série)'!$A$2:$A$166,"&lt;"&amp;EDATE(A107,1))</f>
        <v>0</v>
      </c>
      <c r="W107" s="5"/>
      <c r="X107" s="5">
        <f>IF(MONTH('Previdência_(série)'!$A107)=1,'Previdência_(série)'!$W107,'Previdência_(série)'!$W107-W106)</f>
        <v>0</v>
      </c>
      <c r="Y107" s="5">
        <f>SUMIFS('Previdência_(série)'!$X$2:$X$166,'Previdência_(série)'!$A$2:$A$166,"&gt;"&amp;EDATE('Previdência_(série)'!$A107,-12),'Previdência_(série)'!$A$2:$A$166,"&lt;"&amp;EDATE(A107,1))</f>
        <v>0</v>
      </c>
      <c r="Z107" s="199"/>
      <c r="AA107" s="1"/>
      <c r="AB107" s="1"/>
      <c r="AC107" s="1"/>
      <c r="AD107" s="4" t="s">
        <v>595</v>
      </c>
      <c r="AE107" s="17">
        <v>42644</v>
      </c>
      <c r="AF107" s="4">
        <v>2016</v>
      </c>
    </row>
    <row ht="13.8" outlineLevel="0" r="108">
      <c r="A108" s="17">
        <v>42675</v>
      </c>
      <c r="B108" s="5">
        <v>315625164529.45</v>
      </c>
      <c r="C108" s="5">
        <f>IF(MONTH('Previdência_(série)'!$A108)=1,'Previdência_(série)'!$B108,'Previdência_(série)'!$B108-B107)</f>
        <v>28599908574.99</v>
      </c>
      <c r="D108" s="5">
        <f>SUMIFS('Previdência_(série)'!$C$2:$C$166,'Previdência_(série)'!$A$2:$A$166,"&gt;"&amp;EDATE('Previdência_(série)'!$A108,-12),'Previdência_(série)'!$A$2:$A$166,"&lt;"&amp;EDATE(A108,1))</f>
        <v>362403177844.47</v>
      </c>
      <c r="E108" s="5">
        <v>472567034905.41</v>
      </c>
      <c r="F108" s="5">
        <f>IF(MONTH('Previdência_(série)'!$A108)=1,'Previdência_(série)'!$E108,'Previdência_(série)'!$E108-E107)</f>
        <v>58024113299.2401</v>
      </c>
      <c r="G108" s="5">
        <f>SUMIFS('Previdência_(série)'!$F$2:$F$166,'Previdência_(série)'!$A$2:$A$166,"&gt;"&amp;EDATE('Previdência_(série)'!$A108,-12),'Previdência_(série)'!$A$2:$A$166,"&lt;"&amp;EDATE(A108,1))</f>
        <v>506615103247.08</v>
      </c>
      <c r="H108" s="5">
        <v>27405599742.03</v>
      </c>
      <c r="I108" s="5">
        <f>IF(MONTH('Previdência_(série)'!$A108)=1,'Previdência_(série)'!$H108,'Previdência_(série)'!$H108-H107)</f>
        <v>4378876162.23</v>
      </c>
      <c r="J108" s="5">
        <f>SUMIFS('Previdência_(série)'!$I$2:$I$166,'Previdência_(série)'!$A$2:$A$166,"&gt;"&amp;EDATE('Previdência_(série)'!$A108,-12),'Previdência_(série)'!$A$2:$A$166,"&lt;"&amp;EDATE(A108,1))</f>
        <v>30518789974.26</v>
      </c>
      <c r="K108" s="5">
        <v>67174861198.17</v>
      </c>
      <c r="L108" s="5">
        <f>IF(MONTH('Previdência_(série)'!$A108)=1,'Previdência_(série)'!$K108,'Previdência_(série)'!$K108-K107)</f>
        <v>8476503810.45</v>
      </c>
      <c r="M108" s="5">
        <f>SUMIFS('Previdência_(série)'!$L$2:$L$166,'Previdência_(série)'!$A$2:$A$166,"&gt;"&amp;EDATE('Previdência_(série)'!$A108,-12),'Previdência_(série)'!$A$2:$A$166,"&lt;"&amp;EDATE(A108,1))</f>
        <v>72859091142.23</v>
      </c>
      <c r="N108" s="5">
        <v>2608222952.27</v>
      </c>
      <c r="O108" s="5">
        <f>IF(MONTH('Previdência_(série)'!$A108)=1,'Previdência_(série)'!$N108,'Previdência_(série)'!$N108-N107)</f>
        <v>260295773.94</v>
      </c>
      <c r="P108" s="5">
        <f>SUMIFS('Previdência_(série)'!$O$2:$O$166,'Previdência_(série)'!$A$2:$A$166,"&gt;"&amp;EDATE('Previdência_(série)'!$A108,-12),'Previdência_(série)'!$A$2:$A$166,"&lt;"&amp;EDATE(A108,1))</f>
        <v>2830831592.86</v>
      </c>
      <c r="Q108" s="5">
        <v>34051550747.3</v>
      </c>
      <c r="R108" s="5">
        <f>IF(MONTH('Previdência_(série)'!$A108)=1,'Previdência_(série)'!$Q108,'Previdência_(série)'!$Q108-Q107)</f>
        <v>4478038265.47</v>
      </c>
      <c r="S108" s="5">
        <f>SUMIFS('Previdência_(série)'!$R$2:$R$166,'Previdência_(série)'!$A$2:$A$166,"&gt;"&amp;EDATE('Previdência_(série)'!$A108,-12),'Previdência_(série)'!$A$2:$A$166,"&lt;"&amp;EDATE(A108,1))</f>
        <v>36817975538.49</v>
      </c>
      <c r="T108" s="5"/>
      <c r="U108" s="5">
        <f>IF(MONTH('Previdência_(série)'!$A108)=1,'Previdência_(série)'!$T108,'Previdência_(série)'!$T108-T107)</f>
        <v>0</v>
      </c>
      <c r="V108" s="5">
        <f>SUMIFS('Previdência_(série)'!$U$2:$U$166,'Previdência_(série)'!$A$2:$A$166,"&gt;"&amp;EDATE('Previdência_(série)'!$A108,-12),'Previdência_(série)'!$A$2:$A$166,"&lt;"&amp;EDATE(A108,1))</f>
        <v>0</v>
      </c>
      <c r="W108" s="5"/>
      <c r="X108" s="5">
        <f>IF(MONTH('Previdência_(série)'!$A108)=1,'Previdência_(série)'!$W108,'Previdência_(série)'!$W108-W107)</f>
        <v>0</v>
      </c>
      <c r="Y108" s="5">
        <f>SUMIFS('Previdência_(série)'!$X$2:$X$166,'Previdência_(série)'!$A$2:$A$166,"&gt;"&amp;EDATE('Previdência_(série)'!$A108,-12),'Previdência_(série)'!$A$2:$A$166,"&lt;"&amp;EDATE(A108,1))</f>
        <v>0</v>
      </c>
      <c r="Z108" s="199"/>
      <c r="AA108" s="1"/>
      <c r="AB108" s="1"/>
      <c r="AC108" s="1"/>
      <c r="AD108" s="4" t="s">
        <v>596</v>
      </c>
      <c r="AE108" s="17">
        <v>42675</v>
      </c>
      <c r="AF108" s="4">
        <v>2016</v>
      </c>
    </row>
    <row ht="13.8" outlineLevel="0" r="109">
      <c r="A109" s="17">
        <v>42705</v>
      </c>
      <c r="B109" s="5">
        <v>360380080005.11</v>
      </c>
      <c r="C109" s="5">
        <f>IF(MONTH('Previdência_(série)'!$A109)=1,'Previdência_(série)'!$B109,'Previdência_(série)'!$B109-B108)</f>
        <v>44754915475.66</v>
      </c>
      <c r="D109" s="5">
        <f>SUMIFS('Previdência_(série)'!$C$2:$C$166,'Previdência_(série)'!$A$2:$A$166,"&gt;"&amp;EDATE('Previdência_(série)'!$A109,-12),'Previdência_(série)'!$A$2:$A$166,"&lt;"&amp;EDATE(A109,1))</f>
        <v>360380080005.11</v>
      </c>
      <c r="E109" s="5">
        <v>510088955990.36</v>
      </c>
      <c r="F109" s="5">
        <f>IF(MONTH('Previdência_(série)'!$A109)=1,'Previdência_(série)'!$E109,'Previdência_(série)'!$E109-E108)</f>
        <v>37521921084.95</v>
      </c>
      <c r="G109" s="5">
        <f>SUMIFS('Previdência_(série)'!$F$2:$F$166,'Previdência_(série)'!$A$2:$A$166,"&gt;"&amp;EDATE('Previdência_(série)'!$A109,-12),'Previdência_(série)'!$A$2:$A$166,"&lt;"&amp;EDATE(A109,1))</f>
        <v>510088955990.36</v>
      </c>
      <c r="H109" s="5">
        <v>30696403217.43</v>
      </c>
      <c r="I109" s="5">
        <f>IF(MONTH('Previdência_(série)'!$A109)=1,'Previdência_(série)'!$H109,'Previdência_(série)'!$H109-H108)</f>
        <v>3290803475.4</v>
      </c>
      <c r="J109" s="5">
        <f>SUMIFS('Previdência_(série)'!$I$2:$I$166,'Previdência_(série)'!$A$2:$A$166,"&gt;"&amp;EDATE('Previdência_(série)'!$A109,-12),'Previdência_(série)'!$A$2:$A$166,"&lt;"&amp;EDATE(A109,1))</f>
        <v>30696403217.43</v>
      </c>
      <c r="K109" s="5">
        <v>73778806267.83</v>
      </c>
      <c r="L109" s="5">
        <f>IF(MONTH('Previdência_(série)'!$A109)=1,'Previdência_(série)'!$K109,'Previdência_(série)'!$K109-K108)</f>
        <v>6603945069.66</v>
      </c>
      <c r="M109" s="5">
        <f>SUMIFS('Previdência_(série)'!$L$2:$L$166,'Previdência_(série)'!$A$2:$A$166,"&gt;"&amp;EDATE('Previdência_(série)'!$A109,-12),'Previdência_(série)'!$A$2:$A$166,"&lt;"&amp;EDATE(A109,1))</f>
        <v>73778806267.83</v>
      </c>
      <c r="N109" s="5">
        <v>2929513668.31</v>
      </c>
      <c r="O109" s="5">
        <f>IF(MONTH('Previdência_(série)'!$A109)=1,'Previdência_(série)'!$N109,'Previdência_(série)'!$N109-N108)</f>
        <v>321290716.04</v>
      </c>
      <c r="P109" s="5">
        <f>SUMIFS('Previdência_(série)'!$O$2:$O$166,'Previdência_(série)'!$A$2:$A$166,"&gt;"&amp;EDATE('Previdência_(série)'!$A109,-12),'Previdência_(série)'!$A$2:$A$166,"&lt;"&amp;EDATE(A109,1))</f>
        <v>2929513668.31</v>
      </c>
      <c r="Q109" s="5">
        <v>36998601132.94</v>
      </c>
      <c r="R109" s="5">
        <f>IF(MONTH('Previdência_(série)'!$A109)=1,'Previdência_(série)'!$Q109,'Previdência_(série)'!$Q109-Q108)</f>
        <v>2947050385.64</v>
      </c>
      <c r="S109" s="5">
        <f>SUMIFS('Previdência_(série)'!$R$2:$R$166,'Previdência_(série)'!$A$2:$A$166,"&gt;"&amp;EDATE('Previdência_(série)'!$A109,-12),'Previdência_(série)'!$A$2:$A$166,"&lt;"&amp;EDATE(A109,1))</f>
        <v>36998601132.94</v>
      </c>
      <c r="T109" s="5"/>
      <c r="U109" s="5">
        <f>IF(MONTH('Previdência_(série)'!$A109)=1,'Previdência_(série)'!$T109,'Previdência_(série)'!$T109-T108)</f>
        <v>0</v>
      </c>
      <c r="V109" s="5">
        <f>SUMIFS('Previdência_(série)'!$U$2:$U$166,'Previdência_(série)'!$A$2:$A$166,"&gt;"&amp;EDATE('Previdência_(série)'!$A109,-12),'Previdência_(série)'!$A$2:$A$166,"&lt;"&amp;EDATE(A109,1))</f>
        <v>0</v>
      </c>
      <c r="W109" s="5"/>
      <c r="X109" s="5">
        <f>IF(MONTH('Previdência_(série)'!$A109)=1,'Previdência_(série)'!$W109,'Previdência_(série)'!$W109-W108)</f>
        <v>0</v>
      </c>
      <c r="Y109" s="5">
        <f>SUMIFS('Previdência_(série)'!$X$2:$X$166,'Previdência_(série)'!$A$2:$A$166,"&gt;"&amp;EDATE('Previdência_(série)'!$A109,-12),'Previdência_(série)'!$A$2:$A$166,"&lt;"&amp;EDATE(A109,1))</f>
        <v>0</v>
      </c>
      <c r="Z109" s="199"/>
      <c r="AA109" s="1"/>
      <c r="AB109" s="1"/>
      <c r="AC109" s="1"/>
      <c r="AD109" s="4" t="s">
        <v>597</v>
      </c>
      <c r="AE109" s="17">
        <v>42705</v>
      </c>
      <c r="AF109" s="4">
        <v>2016</v>
      </c>
    </row>
    <row ht="13.8" outlineLevel="0" r="110">
      <c r="A110" s="17">
        <v>42736</v>
      </c>
      <c r="B110" s="5">
        <v>29420718139.29</v>
      </c>
      <c r="C110" s="5">
        <f>IF(MONTH('Previdência_(série)'!$A110)=1,'Previdência_(série)'!$B110,'Previdência_(série)'!$B110-B109)</f>
        <v>29420718139.29</v>
      </c>
      <c r="D110" s="5">
        <f>SUMIFS('Previdência_(série)'!$C$2:$C$166,'Previdência_(série)'!$A$2:$A$166,"&gt;"&amp;EDATE('Previdência_(série)'!$A110,-12),'Previdência_(série)'!$A$2:$A$166,"&lt;"&amp;EDATE(A110,1))</f>
        <v>360391257886</v>
      </c>
      <c r="E110" s="5">
        <v>44496109188.72</v>
      </c>
      <c r="F110" s="5">
        <f>IF(MONTH('Previdência_(série)'!$A110)=1,'Previdência_(série)'!$E110,'Previdência_(série)'!$E110-E109)</f>
        <v>44496109188.72</v>
      </c>
      <c r="G110" s="5">
        <f>SUMIFS('Previdência_(série)'!$F$2:$F$166,'Previdência_(série)'!$A$2:$A$166,"&gt;"&amp;EDATE('Previdência_(série)'!$A110,-12),'Previdência_(série)'!$A$2:$A$166,"&lt;"&amp;EDATE(A110,1))</f>
        <v>515981381971.55</v>
      </c>
      <c r="H110" s="5">
        <v>2459464887.52</v>
      </c>
      <c r="I110" s="5">
        <f>IF(MONTH('Previdência_(série)'!$A110)=1,'Previdência_(série)'!$H110,'Previdência_(série)'!$H110-H109)</f>
        <v>2459464887.52</v>
      </c>
      <c r="J110" s="5">
        <f>SUMIFS('Previdência_(série)'!$I$2:$I$166,'Previdência_(série)'!$A$2:$A$166,"&gt;"&amp;EDATE('Previdência_(série)'!$A110,-12),'Previdência_(série)'!$A$2:$A$166,"&lt;"&amp;EDATE(A110,1))</f>
        <v>30855450808.45</v>
      </c>
      <c r="K110" s="5">
        <v>6690281917.15</v>
      </c>
      <c r="L110" s="5">
        <f>IF(MONTH('Previdência_(série)'!$A110)=1,'Previdência_(série)'!$K110,'Previdência_(série)'!$K110-K109)</f>
        <v>6690281917.15</v>
      </c>
      <c r="M110" s="5">
        <f>SUMIFS('Previdência_(série)'!$L$2:$L$166,'Previdência_(série)'!$A$2:$A$166,"&gt;"&amp;EDATE('Previdência_(série)'!$A110,-12),'Previdência_(série)'!$A$2:$A$166,"&lt;"&amp;EDATE(A110,1))</f>
        <v>74791329798.92</v>
      </c>
      <c r="N110" s="5">
        <v>211716582.88</v>
      </c>
      <c r="O110" s="5">
        <f>IF(MONTH('Previdência_(série)'!$A110)=1,'Previdência_(série)'!$N110,'Previdência_(série)'!$N110-N109)</f>
        <v>211716582.88</v>
      </c>
      <c r="P110" s="5">
        <f>SUMIFS('Previdência_(série)'!$O$2:$O$166,'Previdência_(série)'!$A$2:$A$166,"&gt;"&amp;EDATE('Previdência_(série)'!$A110,-12),'Previdência_(série)'!$A$2:$A$166,"&lt;"&amp;EDATE(A110,1))</f>
        <v>2972272535.45</v>
      </c>
      <c r="Q110" s="5">
        <v>3135776888.36</v>
      </c>
      <c r="R110" s="5">
        <f>IF(MONTH('Previdência_(série)'!$A110)=1,'Previdência_(série)'!$Q110,'Previdência_(série)'!$Q110-Q109)</f>
        <v>3135776888.36</v>
      </c>
      <c r="S110" s="5">
        <f>SUMIFS('Previdência_(série)'!$R$2:$R$166,'Previdência_(série)'!$A$2:$A$166,"&gt;"&amp;EDATE('Previdência_(série)'!$A110,-12),'Previdência_(série)'!$A$2:$A$166,"&lt;"&amp;EDATE(A110,1))</f>
        <v>37363427296.58</v>
      </c>
      <c r="T110" s="5">
        <v>21117889.84</v>
      </c>
      <c r="U110" s="5">
        <f>IF(MONTH('Previdência_(série)'!$A110)=1,'Previdência_(série)'!$T110,'Previdência_(série)'!$T110-T109)</f>
        <v>21117889.84</v>
      </c>
      <c r="V110" s="5">
        <f>SUMIFS('Previdência_(série)'!$U$2:$U$166,'Previdência_(série)'!$A$2:$A$166,"&gt;"&amp;EDATE('Previdência_(série)'!$A110,-12),'Previdência_(série)'!$A$2:$A$166,"&lt;"&amp;EDATE(A110,1))</f>
        <v>21117889.84</v>
      </c>
      <c r="W110" s="5">
        <v>404887491.27</v>
      </c>
      <c r="X110" s="5">
        <f>IF(MONTH('Previdência_(série)'!$A110)=1,'Previdência_(série)'!$W110,'Previdência_(série)'!$W110-W109)</f>
        <v>404887491.27</v>
      </c>
      <c r="Y110" s="5">
        <f>SUMIFS('Previdência_(série)'!$X$2:$X$166,'Previdência_(série)'!$A$2:$A$166,"&gt;"&amp;EDATE('Previdência_(série)'!$A110,-12),'Previdência_(série)'!$A$2:$A$166,"&lt;"&amp;EDATE(A110,1))</f>
        <v>404887491.27</v>
      </c>
      <c r="Z110" s="199"/>
      <c r="AA110" s="1"/>
      <c r="AB110" s="1"/>
      <c r="AC110" s="1"/>
      <c r="AD110" s="4" t="s">
        <v>586</v>
      </c>
      <c r="AE110" s="17">
        <v>42736</v>
      </c>
      <c r="AF110" s="4">
        <v>2017</v>
      </c>
    </row>
    <row ht="13.8" outlineLevel="0" r="111">
      <c r="A111" s="17">
        <v>42767</v>
      </c>
      <c r="B111" s="5">
        <v>58166434503.07</v>
      </c>
      <c r="C111" s="5">
        <f>IF(MONTH('Previdência_(série)'!$A111)=1,'Previdência_(série)'!$B111,'Previdência_(série)'!$B111-B110)</f>
        <v>28745716363.78</v>
      </c>
      <c r="D111" s="5">
        <f>SUMIFS('Previdência_(série)'!$C$2:$C$166,'Previdência_(série)'!$A$2:$A$166,"&gt;"&amp;EDATE('Previdência_(série)'!$A111,-12),'Previdência_(série)'!$A$2:$A$166,"&lt;"&amp;EDATE(A111,1))</f>
        <v>360852208277.77</v>
      </c>
      <c r="E111" s="5">
        <v>86586174112.33</v>
      </c>
      <c r="F111" s="5">
        <f>IF(MONTH('Previdência_(série)'!$A111)=1,'Previdência_(série)'!$E111,'Previdência_(série)'!$E111-E110)</f>
        <v>42090064923.61</v>
      </c>
      <c r="G111" s="5">
        <f>SUMIFS('Previdência_(série)'!$F$2:$F$166,'Previdência_(série)'!$A$2:$A$166,"&gt;"&amp;EDATE('Previdência_(série)'!$A111,-12),'Previdência_(série)'!$A$2:$A$166,"&lt;"&amp;EDATE(A111,1))</f>
        <v>519839471826.03</v>
      </c>
      <c r="H111" s="5">
        <v>5079482166.79</v>
      </c>
      <c r="I111" s="5">
        <f>IF(MONTH('Previdência_(série)'!$A111)=1,'Previdência_(série)'!$H111,'Previdência_(série)'!$H111-H110)</f>
        <v>2620017279.27</v>
      </c>
      <c r="J111" s="5">
        <f>SUMIFS('Previdência_(série)'!$I$2:$I$166,'Previdência_(série)'!$A$2:$A$166,"&gt;"&amp;EDATE('Previdência_(série)'!$A111,-12),'Previdência_(série)'!$A$2:$A$166,"&lt;"&amp;EDATE(A111,1))</f>
        <v>31266906566.83</v>
      </c>
      <c r="K111" s="5">
        <v>12773160918.84</v>
      </c>
      <c r="L111" s="5">
        <f>IF(MONTH('Previdência_(série)'!$A111)=1,'Previdência_(série)'!$K111,'Previdência_(série)'!$K111-K110)</f>
        <v>6082879001.69</v>
      </c>
      <c r="M111" s="5">
        <f>SUMIFS('Previdência_(série)'!$L$2:$L$166,'Previdência_(série)'!$A$2:$A$166,"&gt;"&amp;EDATE('Previdência_(série)'!$A111,-12),'Previdência_(série)'!$A$2:$A$166,"&lt;"&amp;EDATE(A111,1))</f>
        <v>75454768544.23</v>
      </c>
      <c r="N111" s="5">
        <v>487693899.5</v>
      </c>
      <c r="O111" s="5">
        <f>IF(MONTH('Previdência_(série)'!$A111)=1,'Previdência_(série)'!$N111,'Previdência_(série)'!$N111-N110)</f>
        <v>275977316.62</v>
      </c>
      <c r="P111" s="5">
        <f>SUMIFS('Previdência_(série)'!$O$2:$O$166,'Previdência_(série)'!$A$2:$A$166,"&gt;"&amp;EDATE('Previdência_(série)'!$A111,-12),'Previdência_(série)'!$A$2:$A$166,"&lt;"&amp;EDATE(A111,1))</f>
        <v>2961725747.4</v>
      </c>
      <c r="Q111" s="5">
        <v>6349210625.17</v>
      </c>
      <c r="R111" s="5">
        <f>IF(MONTH('Previdência_(série)'!$A111)=1,'Previdência_(série)'!$Q111,'Previdência_(série)'!$Q111-Q110)</f>
        <v>3213433736.81</v>
      </c>
      <c r="S111" s="5">
        <f>SUMIFS('Previdência_(série)'!$R$2:$R$166,'Previdência_(série)'!$A$2:$A$166,"&gt;"&amp;EDATE('Previdência_(série)'!$A111,-12),'Previdência_(série)'!$A$2:$A$166,"&lt;"&amp;EDATE(A111,1))</f>
        <v>37821475340.33</v>
      </c>
      <c r="T111" s="5">
        <v>62337569.31</v>
      </c>
      <c r="U111" s="5">
        <f>IF(MONTH('Previdência_(série)'!$A111)=1,'Previdência_(série)'!$T111,'Previdência_(série)'!$T111-T110)</f>
        <v>41219679.47</v>
      </c>
      <c r="V111" s="5">
        <f>SUMIFS('Previdência_(série)'!$U$2:$U$166,'Previdência_(série)'!$A$2:$A$166,"&gt;"&amp;EDATE('Previdência_(série)'!$A111,-12),'Previdência_(série)'!$A$2:$A$166,"&lt;"&amp;EDATE(A111,1))</f>
        <v>62337569.31</v>
      </c>
      <c r="W111" s="5">
        <v>998776247.5</v>
      </c>
      <c r="X111" s="5">
        <f>IF(MONTH('Previdência_(série)'!$A111)=1,'Previdência_(série)'!$W111,'Previdência_(série)'!$W111-W110)</f>
        <v>593888756.23</v>
      </c>
      <c r="Y111" s="5">
        <f>SUMIFS('Previdência_(série)'!$X$2:$X$166,'Previdência_(série)'!$A$2:$A$166,"&gt;"&amp;EDATE('Previdência_(série)'!$A111,-12),'Previdência_(série)'!$A$2:$A$166,"&lt;"&amp;EDATE(A111,1))</f>
        <v>998776247.5</v>
      </c>
      <c r="Z111" s="199"/>
      <c r="AA111" s="1"/>
      <c r="AB111" s="1"/>
      <c r="AC111" s="1"/>
      <c r="AD111" s="4" t="s">
        <v>587</v>
      </c>
      <c r="AE111" s="17">
        <v>42767</v>
      </c>
      <c r="AF111" s="4">
        <v>2017</v>
      </c>
    </row>
    <row ht="13.8" outlineLevel="0" r="112">
      <c r="A112" s="17">
        <v>42795</v>
      </c>
      <c r="B112" s="5">
        <v>88051826627.9</v>
      </c>
      <c r="C112" s="5">
        <f>IF(MONTH('Previdência_(série)'!$A112)=1,'Previdência_(série)'!$B112,'Previdência_(série)'!$B112-B111)</f>
        <v>29885392124.83</v>
      </c>
      <c r="D112" s="5">
        <f>SUMIFS('Previdência_(série)'!$C$2:$C$166,'Previdência_(série)'!$A$2:$A$166,"&gt;"&amp;EDATE('Previdência_(série)'!$A112,-12),'Previdência_(série)'!$A$2:$A$166,"&lt;"&amp;EDATE(A112,1))</f>
        <v>362115268135.51</v>
      </c>
      <c r="E112" s="5">
        <v>128944400110.54</v>
      </c>
      <c r="F112" s="5">
        <f>IF(MONTH('Previdência_(série)'!$A112)=1,'Previdência_(série)'!$E112,'Previdência_(série)'!$E112-E111)</f>
        <v>42358225998.21</v>
      </c>
      <c r="G112" s="5">
        <f>SUMIFS('Previdência_(série)'!$F$2:$F$166,'Previdência_(série)'!$A$2:$A$166,"&gt;"&amp;EDATE('Previdência_(série)'!$A112,-12),'Previdência_(série)'!$A$2:$A$166,"&lt;"&amp;EDATE(A112,1))</f>
        <v>523034880585.39</v>
      </c>
      <c r="H112" s="5">
        <v>7636429047.54</v>
      </c>
      <c r="I112" s="5">
        <f>IF(MONTH('Previdência_(série)'!$A112)=1,'Previdência_(série)'!$H112,'Previdência_(série)'!$H112-H111)</f>
        <v>2556946880.75</v>
      </c>
      <c r="J112" s="5">
        <f>SUMIFS('Previdência_(série)'!$I$2:$I$166,'Previdência_(série)'!$A$2:$A$166,"&gt;"&amp;EDATE('Previdência_(série)'!$A112,-12),'Previdência_(série)'!$A$2:$A$166,"&lt;"&amp;EDATE(A112,1))</f>
        <v>31524070306.7</v>
      </c>
      <c r="K112" s="5">
        <v>19030225670.96</v>
      </c>
      <c r="L112" s="5">
        <f>IF(MONTH('Previdência_(série)'!$A112)=1,'Previdência_(série)'!$K112,'Previdência_(série)'!$K112-K111)</f>
        <v>6257064752.12</v>
      </c>
      <c r="M112" s="5">
        <f>SUMIFS('Previdência_(série)'!$L$2:$L$166,'Previdência_(série)'!$A$2:$A$166,"&gt;"&amp;EDATE('Previdência_(série)'!$A112,-12),'Previdência_(série)'!$A$2:$A$166,"&lt;"&amp;EDATE(A112,1))</f>
        <v>76240203240.74</v>
      </c>
      <c r="N112" s="5">
        <v>763841894.23</v>
      </c>
      <c r="O112" s="5">
        <f>IF(MONTH('Previdência_(série)'!$A112)=1,'Previdência_(série)'!$N112,'Previdência_(série)'!$N112-N111)</f>
        <v>276147994.73</v>
      </c>
      <c r="P112" s="5">
        <f>SUMIFS('Previdência_(série)'!$O$2:$O$166,'Previdência_(série)'!$A$2:$A$166,"&gt;"&amp;EDATE('Previdência_(série)'!$A112,-12),'Previdência_(série)'!$A$2:$A$166,"&lt;"&amp;EDATE(A112,1))</f>
        <v>3010791539.48</v>
      </c>
      <c r="Q112" s="5">
        <v>9409871021.33</v>
      </c>
      <c r="R112" s="5">
        <f>IF(MONTH('Previdência_(série)'!$A112)=1,'Previdência_(série)'!$Q112,'Previdência_(série)'!$Q112-Q111)</f>
        <v>3060660396.16</v>
      </c>
      <c r="S112" s="5">
        <f>SUMIFS('Previdência_(série)'!$R$2:$R$166,'Previdência_(série)'!$A$2:$A$166,"&gt;"&amp;EDATE('Previdência_(série)'!$A112,-12),'Previdência_(série)'!$A$2:$A$166,"&lt;"&amp;EDATE(A112,1))</f>
        <v>38111990245.03</v>
      </c>
      <c r="T112" s="5">
        <v>93192400.84</v>
      </c>
      <c r="U112" s="5">
        <f>IF(MONTH('Previdência_(série)'!$A112)=1,'Previdência_(série)'!$T112,'Previdência_(série)'!$T112-T111)</f>
        <v>30854831.53</v>
      </c>
      <c r="V112" s="5">
        <f>SUMIFS('Previdência_(série)'!$U$2:$U$166,'Previdência_(série)'!$A$2:$A$166,"&gt;"&amp;EDATE('Previdência_(série)'!$A112,-12),'Previdência_(série)'!$A$2:$A$166,"&lt;"&amp;EDATE(A112,1))</f>
        <v>93192400.84</v>
      </c>
      <c r="W112" s="5">
        <v>1453724721.4</v>
      </c>
      <c r="X112" s="5">
        <f>IF(MONTH('Previdência_(série)'!$A112)=1,'Previdência_(série)'!$W112,'Previdência_(série)'!$W112-W111)</f>
        <v>454948473.9</v>
      </c>
      <c r="Y112" s="5">
        <f>SUMIFS('Previdência_(série)'!$X$2:$X$166,'Previdência_(série)'!$A$2:$A$166,"&gt;"&amp;EDATE('Previdência_(série)'!$A112,-12),'Previdência_(série)'!$A$2:$A$166,"&lt;"&amp;EDATE(A112,1))</f>
        <v>1453724721.4</v>
      </c>
      <c r="Z112" s="199"/>
      <c r="AA112" s="1"/>
      <c r="AB112" s="1"/>
      <c r="AC112" s="1"/>
      <c r="AD112" s="4" t="s">
        <v>588</v>
      </c>
      <c r="AE112" s="17">
        <v>42795</v>
      </c>
      <c r="AF112" s="4">
        <v>2017</v>
      </c>
    </row>
    <row ht="13.8" outlineLevel="0" r="113">
      <c r="A113" s="17">
        <v>42826</v>
      </c>
      <c r="B113" s="5">
        <v>119455584949.86</v>
      </c>
      <c r="C113" s="5">
        <f>IF(MONTH('Previdência_(série)'!$A113)=1,'Previdência_(série)'!$B113,'Previdência_(série)'!$B113-B112)</f>
        <v>31403758321.96</v>
      </c>
      <c r="D113" s="5">
        <f>SUMIFS('Previdência_(série)'!$C$2:$C$166,'Previdência_(série)'!$A$2:$A$166,"&gt;"&amp;EDATE('Previdência_(série)'!$A113,-12),'Previdência_(série)'!$A$2:$A$166,"&lt;"&amp;EDATE(A113,1))</f>
        <v>362780164690.95</v>
      </c>
      <c r="E113" s="5">
        <v>172429644780.53</v>
      </c>
      <c r="F113" s="5">
        <f>IF(MONTH('Previdência_(série)'!$A113)=1,'Previdência_(série)'!$E113,'Previdência_(série)'!$E113-E112)</f>
        <v>43485244669.99</v>
      </c>
      <c r="G113" s="5">
        <f>SUMIFS('Previdência_(série)'!$F$2:$F$166,'Previdência_(série)'!$A$2:$A$166,"&gt;"&amp;EDATE('Previdência_(série)'!$A113,-12),'Previdência_(série)'!$A$2:$A$166,"&lt;"&amp;EDATE(A113,1))</f>
        <v>527369358880.16</v>
      </c>
      <c r="H113" s="5">
        <v>10171853883.18</v>
      </c>
      <c r="I113" s="5">
        <f>IF(MONTH('Previdência_(série)'!$A113)=1,'Previdência_(série)'!$H113,'Previdência_(série)'!$H113-H112)</f>
        <v>2535424835.64</v>
      </c>
      <c r="J113" s="5">
        <f>SUMIFS('Previdência_(série)'!$I$2:$I$166,'Previdência_(série)'!$A$2:$A$166,"&gt;"&amp;EDATE('Previdência_(série)'!$A113,-12),'Previdência_(série)'!$A$2:$A$166,"&lt;"&amp;EDATE(A113,1))</f>
        <v>31830380751.58</v>
      </c>
      <c r="K113" s="5">
        <v>25182578527.16</v>
      </c>
      <c r="L113" s="5">
        <f>IF(MONTH('Previdência_(série)'!$A113)=1,'Previdência_(série)'!$K113,'Previdência_(série)'!$K113-K112)</f>
        <v>6152352856.2</v>
      </c>
      <c r="M113" s="5">
        <f>SUMIFS('Previdência_(série)'!$L$2:$L$166,'Previdência_(série)'!$A$2:$A$166,"&gt;"&amp;EDATE('Previdência_(série)'!$A113,-12),'Previdência_(série)'!$A$2:$A$166,"&lt;"&amp;EDATE(A113,1))</f>
        <v>76882150719.71</v>
      </c>
      <c r="N113" s="5">
        <v>1040881565.19</v>
      </c>
      <c r="O113" s="5">
        <f>IF(MONTH('Previdência_(série)'!$A113)=1,'Previdência_(série)'!$N113,'Previdência_(série)'!$N113-N112)</f>
        <v>277039670.96</v>
      </c>
      <c r="P113" s="5">
        <f>SUMIFS('Previdência_(série)'!$O$2:$O$166,'Previdência_(série)'!$A$2:$A$166,"&gt;"&amp;EDATE('Previdência_(série)'!$A113,-12),'Previdência_(série)'!$A$2:$A$166,"&lt;"&amp;EDATE(A113,1))</f>
        <v>3060533933.49</v>
      </c>
      <c r="Q113" s="5">
        <v>12556728542.15</v>
      </c>
      <c r="R113" s="5">
        <f>IF(MONTH('Previdência_(série)'!$A113)=1,'Previdência_(série)'!$Q113,'Previdência_(série)'!$Q113-Q112)</f>
        <v>3146857520.82</v>
      </c>
      <c r="S113" s="5">
        <f>SUMIFS('Previdência_(série)'!$R$2:$R$166,'Previdência_(série)'!$A$2:$A$166,"&gt;"&amp;EDATE('Previdência_(série)'!$A113,-12),'Previdência_(série)'!$A$2:$A$166,"&lt;"&amp;EDATE(A113,1))</f>
        <v>38490280125.26</v>
      </c>
      <c r="T113" s="5">
        <v>124164210.78</v>
      </c>
      <c r="U113" s="5">
        <f>IF(MONTH('Previdência_(série)'!$A113)=1,'Previdência_(série)'!$T113,'Previdência_(série)'!$T113-T112)</f>
        <v>30971809.94</v>
      </c>
      <c r="V113" s="5">
        <f>SUMIFS('Previdência_(série)'!$U$2:$U$166,'Previdência_(série)'!$A$2:$A$166,"&gt;"&amp;EDATE('Previdência_(série)'!$A113,-12),'Previdência_(série)'!$A$2:$A$166,"&lt;"&amp;EDATE(A113,1))</f>
        <v>124164210.78</v>
      </c>
      <c r="W113" s="5">
        <v>1867195785.44</v>
      </c>
      <c r="X113" s="5">
        <f>IF(MONTH('Previdência_(série)'!$A113)=1,'Previdência_(série)'!$W113,'Previdência_(série)'!$W113-W112)</f>
        <v>413471064.04</v>
      </c>
      <c r="Y113" s="5">
        <f>SUMIFS('Previdência_(série)'!$X$2:$X$166,'Previdência_(série)'!$A$2:$A$166,"&gt;"&amp;EDATE('Previdência_(série)'!$A113,-12),'Previdência_(série)'!$A$2:$A$166,"&lt;"&amp;EDATE(A113,1))</f>
        <v>1867195785.44</v>
      </c>
      <c r="Z113" s="199"/>
      <c r="AA113" s="1"/>
      <c r="AB113" s="1"/>
      <c r="AC113" s="1"/>
      <c r="AD113" s="4" t="s">
        <v>589</v>
      </c>
      <c r="AE113" s="17">
        <v>42826</v>
      </c>
      <c r="AF113" s="4">
        <v>2017</v>
      </c>
    </row>
    <row ht="13.8" outlineLevel="0" r="114">
      <c r="A114" s="17">
        <v>42856</v>
      </c>
      <c r="B114" s="5">
        <v>149336652251.06</v>
      </c>
      <c r="C114" s="5">
        <f>IF(MONTH('Previdência_(série)'!$A114)=1,'Previdência_(série)'!$B114,'Previdência_(série)'!$B114-B113)</f>
        <v>29881067301.2</v>
      </c>
      <c r="D114" s="5">
        <f>SUMIFS('Previdência_(série)'!$C$2:$C$166,'Previdência_(série)'!$A$2:$A$166,"&gt;"&amp;EDATE('Previdência_(série)'!$A114,-12),'Previdência_(série)'!$A$2:$A$166,"&lt;"&amp;EDATE(A114,1))</f>
        <v>364292455832.97</v>
      </c>
      <c r="E114" s="5">
        <v>219700271443.88</v>
      </c>
      <c r="F114" s="5">
        <f>IF(MONTH('Previdência_(série)'!$A114)=1,'Previdência_(série)'!$E114,'Previdência_(série)'!$E114-E113)</f>
        <v>47270626663.35</v>
      </c>
      <c r="G114" s="5">
        <f>SUMIFS('Previdência_(série)'!$F$2:$F$166,'Previdência_(série)'!$A$2:$A$166,"&gt;"&amp;EDATE('Previdência_(série)'!$A114,-12),'Previdência_(série)'!$A$2:$A$166,"&lt;"&amp;EDATE(A114,1))</f>
        <v>534121618387.46</v>
      </c>
      <c r="H114" s="5">
        <v>12711505597.42</v>
      </c>
      <c r="I114" s="5">
        <f>IF(MONTH('Previdência_(série)'!$A114)=1,'Previdência_(série)'!$H114,'Previdência_(série)'!$H114-H113)</f>
        <v>2539651714.24</v>
      </c>
      <c r="J114" s="5">
        <f>SUMIFS('Previdência_(série)'!$I$2:$I$166,'Previdência_(série)'!$A$2:$A$166,"&gt;"&amp;EDATE('Previdência_(série)'!$A114,-12),'Previdência_(série)'!$A$2:$A$166,"&lt;"&amp;EDATE(A114,1))</f>
        <v>31990541869.97</v>
      </c>
      <c r="K114" s="5">
        <v>31915490132.72</v>
      </c>
      <c r="L114" s="5">
        <f>IF(MONTH('Previdência_(série)'!$A114)=1,'Previdência_(série)'!$K114,'Previdência_(série)'!$K114-K113)</f>
        <v>6732911605.56</v>
      </c>
      <c r="M114" s="5">
        <f>SUMIFS('Previdência_(série)'!$L$2:$L$166,'Previdência_(série)'!$A$2:$A$166,"&gt;"&amp;EDATE('Previdência_(série)'!$A114,-12),'Previdência_(série)'!$A$2:$A$166,"&lt;"&amp;EDATE(A114,1))</f>
        <v>78018506865.69</v>
      </c>
      <c r="N114" s="5">
        <v>1319505687.64</v>
      </c>
      <c r="O114" s="5">
        <f>IF(MONTH('Previdência_(série)'!$A114)=1,'Previdência_(série)'!$N114,'Previdência_(série)'!$N114-N113)</f>
        <v>278624122.45</v>
      </c>
      <c r="P114" s="5">
        <f>SUMIFS('Previdência_(série)'!$O$2:$O$166,'Previdência_(série)'!$A$2:$A$166,"&gt;"&amp;EDATE('Previdência_(série)'!$A114,-12),'Previdência_(série)'!$A$2:$A$166,"&lt;"&amp;EDATE(A114,1))</f>
        <v>3112047413.49</v>
      </c>
      <c r="Q114" s="5">
        <v>15702200559.74</v>
      </c>
      <c r="R114" s="5">
        <f>IF(MONTH('Previdência_(série)'!$A114)=1,'Previdência_(série)'!$Q114,'Previdência_(série)'!$Q114-Q113)</f>
        <v>3145472017.59</v>
      </c>
      <c r="S114" s="5">
        <f>SUMIFS('Previdência_(série)'!$R$2:$R$166,'Previdência_(série)'!$A$2:$A$166,"&gt;"&amp;EDATE('Previdência_(série)'!$A114,-12),'Previdência_(série)'!$A$2:$A$166,"&lt;"&amp;EDATE(A114,1))</f>
        <v>38861559426.24</v>
      </c>
      <c r="T114" s="5">
        <v>155081133.54</v>
      </c>
      <c r="U114" s="5">
        <f>IF(MONTH('Previdência_(série)'!$A114)=1,'Previdência_(série)'!$T114,'Previdência_(série)'!$T114-T113)</f>
        <v>30916922.76</v>
      </c>
      <c r="V114" s="5">
        <f>SUMIFS('Previdência_(série)'!$U$2:$U$166,'Previdência_(série)'!$A$2:$A$166,"&gt;"&amp;EDATE('Previdência_(série)'!$A114,-12),'Previdência_(série)'!$A$2:$A$166,"&lt;"&amp;EDATE(A114,1))</f>
        <v>155081133.54</v>
      </c>
      <c r="W114" s="5">
        <v>2172991905.54</v>
      </c>
      <c r="X114" s="5">
        <f>IF(MONTH('Previdência_(série)'!$A114)=1,'Previdência_(série)'!$W114,'Previdência_(série)'!$W114-W113)</f>
        <v>305796120.1</v>
      </c>
      <c r="Y114" s="5">
        <f>SUMIFS('Previdência_(série)'!$X$2:$X$166,'Previdência_(série)'!$A$2:$A$166,"&gt;"&amp;EDATE('Previdência_(série)'!$A114,-12),'Previdência_(série)'!$A$2:$A$166,"&lt;"&amp;EDATE(A114,1))</f>
        <v>2172991905.54</v>
      </c>
      <c r="Z114" s="199"/>
      <c r="AA114" s="1"/>
      <c r="AB114" s="1"/>
      <c r="AC114" s="1"/>
      <c r="AD114" s="4" t="s">
        <v>590</v>
      </c>
      <c r="AE114" s="17">
        <v>42856</v>
      </c>
      <c r="AF114" s="4">
        <v>2017</v>
      </c>
    </row>
    <row ht="13.8" outlineLevel="0" r="115">
      <c r="A115" s="17">
        <v>42887</v>
      </c>
      <c r="B115" s="5">
        <v>179726789466.14</v>
      </c>
      <c r="C115" s="5">
        <f>IF(MONTH('Previdência_(série)'!$A115)=1,'Previdência_(série)'!$B115,'Previdência_(série)'!$B115-B114)</f>
        <v>30390137215.08</v>
      </c>
      <c r="D115" s="5">
        <f>SUMIFS('Previdência_(série)'!$C$2:$C$166,'Previdência_(série)'!$A$2:$A$166,"&gt;"&amp;EDATE('Previdência_(série)'!$A115,-12),'Previdência_(série)'!$A$2:$A$166,"&lt;"&amp;EDATE(A115,1))</f>
        <v>365749653658.29</v>
      </c>
      <c r="E115" s="5">
        <v>262814789691.12</v>
      </c>
      <c r="F115" s="5">
        <f>IF(MONTH('Previdência_(série)'!$A115)=1,'Previdência_(série)'!$E115,'Previdência_(série)'!$E115-E114)</f>
        <v>43114518247.24</v>
      </c>
      <c r="G115" s="5">
        <f>SUMIFS('Previdência_(série)'!$F$2:$F$166,'Previdência_(série)'!$A$2:$A$166,"&gt;"&amp;EDATE('Previdência_(série)'!$A115,-12),'Previdência_(série)'!$A$2:$A$166,"&lt;"&amp;EDATE(A115,1))</f>
        <v>537889215580.08</v>
      </c>
      <c r="H115" s="5">
        <v>15443680659.6</v>
      </c>
      <c r="I115" s="5">
        <f>IF(MONTH('Previdência_(série)'!$A115)=1,'Previdência_(série)'!$H115,'Previdência_(série)'!$H115-H114)</f>
        <v>2732175062.18</v>
      </c>
      <c r="J115" s="5">
        <f>SUMIFS('Previdência_(série)'!$I$2:$I$166,'Previdência_(série)'!$A$2:$A$166,"&gt;"&amp;EDATE('Previdência_(série)'!$A115,-12),'Previdência_(série)'!$A$2:$A$166,"&lt;"&amp;EDATE(A115,1))</f>
        <v>32501236378.08</v>
      </c>
      <c r="K115" s="5">
        <v>40734088757.69</v>
      </c>
      <c r="L115" s="5">
        <f>IF(MONTH('Previdência_(série)'!$A115)=1,'Previdência_(série)'!$K115,'Previdência_(série)'!$K115-K114)</f>
        <v>8818598624.96999</v>
      </c>
      <c r="M115" s="5">
        <f>SUMIFS('Previdência_(série)'!$L$2:$L$166,'Previdência_(série)'!$A$2:$A$166,"&gt;"&amp;EDATE('Previdência_(série)'!$A115,-12),'Previdência_(série)'!$A$2:$A$166,"&lt;"&amp;EDATE(A115,1))</f>
        <v>78965543015.53</v>
      </c>
      <c r="N115" s="5">
        <v>1600010573.9</v>
      </c>
      <c r="O115" s="5">
        <f>IF(MONTH('Previdência_(série)'!$A115)=1,'Previdência_(série)'!$N115,'Previdência_(série)'!$N115-N114)</f>
        <v>280504886.26</v>
      </c>
      <c r="P115" s="5">
        <f>SUMIFS('Previdência_(série)'!$O$2:$O$166,'Previdência_(série)'!$A$2:$A$166,"&gt;"&amp;EDATE('Previdência_(série)'!$A115,-12),'Previdência_(série)'!$A$2:$A$166,"&lt;"&amp;EDATE(A115,1))</f>
        <v>3165225654.03</v>
      </c>
      <c r="Q115" s="5">
        <v>20421853074.29</v>
      </c>
      <c r="R115" s="5">
        <f>IF(MONTH('Previdência_(série)'!$A115)=1,'Previdência_(série)'!$Q115,'Previdência_(série)'!$Q115-Q114)</f>
        <v>4719652514.55</v>
      </c>
      <c r="S115" s="5">
        <f>SUMIFS('Previdência_(série)'!$R$2:$R$166,'Previdência_(série)'!$A$2:$A$166,"&gt;"&amp;EDATE('Previdência_(série)'!$A115,-12),'Previdência_(série)'!$A$2:$A$166,"&lt;"&amp;EDATE(A115,1))</f>
        <v>39436617084.87</v>
      </c>
      <c r="T115" s="5">
        <v>185932558.44</v>
      </c>
      <c r="U115" s="5">
        <f>IF(MONTH('Previdência_(série)'!$A115)=1,'Previdência_(série)'!$T115,'Previdência_(série)'!$T115-T114)</f>
        <v>30851424.9</v>
      </c>
      <c r="V115" s="5">
        <f>SUMIFS('Previdência_(série)'!$U$2:$U$166,'Previdência_(série)'!$A$2:$A$166,"&gt;"&amp;EDATE('Previdência_(série)'!$A115,-12),'Previdência_(série)'!$A$2:$A$166,"&lt;"&amp;EDATE(A115,1))</f>
        <v>185932558.44</v>
      </c>
      <c r="W115" s="5">
        <v>2659756047.59</v>
      </c>
      <c r="X115" s="5">
        <f>IF(MONTH('Previdência_(série)'!$A115)=1,'Previdência_(série)'!$W115,'Previdência_(série)'!$W115-W114)</f>
        <v>486764142.05</v>
      </c>
      <c r="Y115" s="5">
        <f>SUMIFS('Previdência_(série)'!$X$2:$X$166,'Previdência_(série)'!$A$2:$A$166,"&gt;"&amp;EDATE('Previdência_(série)'!$A115,-12),'Previdência_(série)'!$A$2:$A$166,"&lt;"&amp;EDATE(A115,1))</f>
        <v>2659756047.59</v>
      </c>
      <c r="Z115" s="199"/>
      <c r="AA115" s="1"/>
      <c r="AB115" s="1"/>
      <c r="AC115" s="1"/>
      <c r="AD115" s="4" t="s">
        <v>591</v>
      </c>
      <c r="AE115" s="17">
        <v>42887</v>
      </c>
      <c r="AF115" s="4">
        <v>2017</v>
      </c>
    </row>
    <row ht="13.8" outlineLevel="0" r="116">
      <c r="A116" s="17">
        <v>42917</v>
      </c>
      <c r="B116" s="5">
        <v>209824570394.03</v>
      </c>
      <c r="C116" s="5">
        <f>IF(MONTH('Previdência_(série)'!$A116)=1,'Previdência_(série)'!$B116,'Previdência_(série)'!$B116-B115)</f>
        <v>30097780927.89</v>
      </c>
      <c r="D116" s="5">
        <f>SUMIFS('Previdência_(série)'!$C$2:$C$166,'Previdência_(série)'!$A$2:$A$166,"&gt;"&amp;EDATE('Previdência_(série)'!$A116,-12),'Previdência_(série)'!$A$2:$A$166,"&lt;"&amp;EDATE(A116,1))</f>
        <v>368219704934.46</v>
      </c>
      <c r="E116" s="5">
        <v>305766316522.2</v>
      </c>
      <c r="F116" s="5">
        <f>IF(MONTH('Previdência_(série)'!$A116)=1,'Previdência_(série)'!$E116,'Previdência_(série)'!$E116-E115)</f>
        <v>42951526831.08</v>
      </c>
      <c r="G116" s="5">
        <f>SUMIFS('Previdência_(série)'!$F$2:$F$166,'Previdência_(série)'!$A$2:$A$166,"&gt;"&amp;EDATE('Previdência_(série)'!$A116,-12),'Previdência_(série)'!$A$2:$A$166,"&lt;"&amp;EDATE(A116,1))</f>
        <v>541487019113.65</v>
      </c>
      <c r="H116" s="5">
        <v>18139168743.31</v>
      </c>
      <c r="I116" s="5">
        <f>IF(MONTH('Previdência_(série)'!$A116)=1,'Previdência_(série)'!$H116,'Previdência_(série)'!$H116-H115)</f>
        <v>2695488083.71</v>
      </c>
      <c r="J116" s="5">
        <f>SUMIFS('Previdência_(série)'!$I$2:$I$166,'Previdência_(série)'!$A$2:$A$166,"&gt;"&amp;EDATE('Previdência_(série)'!$A116,-12),'Previdência_(série)'!$A$2:$A$166,"&lt;"&amp;EDATE(A116,1))</f>
        <v>32926112685.97</v>
      </c>
      <c r="K116" s="5">
        <v>47069236129.51</v>
      </c>
      <c r="L116" s="5">
        <f>IF(MONTH('Previdência_(série)'!$A116)=1,'Previdência_(série)'!$K116,'Previdência_(série)'!$K116-K115)</f>
        <v>6335147371.82001</v>
      </c>
      <c r="M116" s="5">
        <f>SUMIFS('Previdência_(série)'!$L$2:$L$166,'Previdência_(série)'!$A$2:$A$166,"&gt;"&amp;EDATE('Previdência_(série)'!$A116,-12),'Previdência_(série)'!$A$2:$A$166,"&lt;"&amp;EDATE(A116,1))</f>
        <v>79614260223.29</v>
      </c>
      <c r="N116" s="5">
        <v>1881508170.13</v>
      </c>
      <c r="O116" s="5">
        <f>IF(MONTH('Previdência_(série)'!$A116)=1,'Previdência_(série)'!$N116,'Previdência_(série)'!$N116-N115)</f>
        <v>281497596.23</v>
      </c>
      <c r="P116" s="5">
        <f>SUMIFS('Previdência_(série)'!$O$2:$O$166,'Previdência_(série)'!$A$2:$A$166,"&gt;"&amp;EDATE('Previdência_(série)'!$A116,-12),'Previdência_(série)'!$A$2:$A$166,"&lt;"&amp;EDATE(A116,1))</f>
        <v>3219211151.38</v>
      </c>
      <c r="Q116" s="5">
        <v>23484495758.91</v>
      </c>
      <c r="R116" s="5">
        <f>IF(MONTH('Previdência_(série)'!$A116)=1,'Previdência_(série)'!$Q116,'Previdência_(série)'!$Q116-Q115)</f>
        <v>3062642684.62</v>
      </c>
      <c r="S116" s="5">
        <f>SUMIFS('Previdência_(série)'!$R$2:$R$166,'Previdência_(série)'!$A$2:$A$166,"&gt;"&amp;EDATE('Previdência_(série)'!$A116,-12),'Previdência_(série)'!$A$2:$A$166,"&lt;"&amp;EDATE(A116,1))</f>
        <v>39725657497.32</v>
      </c>
      <c r="T116" s="5">
        <v>216860414.75</v>
      </c>
      <c r="U116" s="5">
        <f>IF(MONTH('Previdência_(série)'!$A116)=1,'Previdência_(série)'!$T116,'Previdência_(série)'!$T116-T115)</f>
        <v>30927856.31</v>
      </c>
      <c r="V116" s="5">
        <f>SUMIFS('Previdência_(série)'!$U$2:$U$166,'Previdência_(série)'!$A$2:$A$166,"&gt;"&amp;EDATE('Previdência_(série)'!$A116,-12),'Previdência_(série)'!$A$2:$A$166,"&lt;"&amp;EDATE(A116,1))</f>
        <v>216860414.75</v>
      </c>
      <c r="W116" s="5">
        <v>3029886400.64</v>
      </c>
      <c r="X116" s="5">
        <f>IF(MONTH('Previdência_(série)'!$A116)=1,'Previdência_(série)'!$W116,'Previdência_(série)'!$W116-W115)</f>
        <v>370130353.05</v>
      </c>
      <c r="Y116" s="5">
        <f>SUMIFS('Previdência_(série)'!$X$2:$X$166,'Previdência_(série)'!$A$2:$A$166,"&gt;"&amp;EDATE('Previdência_(série)'!$A116,-12),'Previdência_(série)'!$A$2:$A$166,"&lt;"&amp;EDATE(A116,1))</f>
        <v>3029886400.64</v>
      </c>
      <c r="Z116" s="199"/>
      <c r="AA116" s="1"/>
      <c r="AB116" s="1"/>
      <c r="AC116" s="1"/>
      <c r="AD116" s="4" t="s">
        <v>592</v>
      </c>
      <c r="AE116" s="17">
        <v>42917</v>
      </c>
      <c r="AF116" s="4">
        <v>2017</v>
      </c>
    </row>
    <row ht="13.8" outlineLevel="0" r="117">
      <c r="A117" s="17">
        <v>42948</v>
      </c>
      <c r="B117" s="5">
        <v>240475143564.57</v>
      </c>
      <c r="C117" s="5">
        <f>IF(MONTH('Previdência_(série)'!$A117)=1,'Previdência_(série)'!$B117,'Previdência_(série)'!$B117-B116)</f>
        <v>30650573170.54</v>
      </c>
      <c r="D117" s="5">
        <f>SUMIFS('Previdência_(série)'!$C$2:$C$166,'Previdência_(série)'!$A$2:$A$166,"&gt;"&amp;EDATE('Previdência_(série)'!$A117,-12),'Previdência_(série)'!$A$2:$A$166,"&lt;"&amp;EDATE(A117,1))</f>
        <v>370220810266.91</v>
      </c>
      <c r="E117" s="5">
        <v>368171092093.34</v>
      </c>
      <c r="F117" s="5">
        <f>IF(MONTH('Previdência_(série)'!$A117)=1,'Previdência_(série)'!$E117,'Previdência_(série)'!$E117-E116)</f>
        <v>62404775571.14</v>
      </c>
      <c r="G117" s="5">
        <f>SUMIFS('Previdência_(série)'!$F$2:$F$166,'Previdência_(série)'!$A$2:$A$166,"&gt;"&amp;EDATE('Previdência_(série)'!$A117,-12),'Previdência_(série)'!$A$2:$A$166,"&lt;"&amp;EDATE(A117,1))</f>
        <v>546363138602.58</v>
      </c>
      <c r="H117" s="5">
        <v>20811284685.15</v>
      </c>
      <c r="I117" s="5">
        <f>IF(MONTH('Previdência_(série)'!$A117)=1,'Previdência_(série)'!$H117,'Previdência_(série)'!$H117-H116)</f>
        <v>2672115941.84</v>
      </c>
      <c r="J117" s="5">
        <f>SUMIFS('Previdência_(série)'!$I$2:$I$166,'Previdência_(série)'!$A$2:$A$166,"&gt;"&amp;EDATE('Previdência_(série)'!$A117,-12),'Previdência_(série)'!$A$2:$A$166,"&lt;"&amp;EDATE(A117,1))</f>
        <v>33226354288.39</v>
      </c>
      <c r="K117" s="5">
        <v>53437288721.75</v>
      </c>
      <c r="L117" s="5">
        <f>IF(MONTH('Previdência_(série)'!$A117)=1,'Previdência_(série)'!$K117,'Previdência_(série)'!$K117-K116)</f>
        <v>6368052592.24</v>
      </c>
      <c r="M117" s="5">
        <f>SUMIFS('Previdência_(série)'!$L$2:$L$166,'Previdência_(série)'!$A$2:$A$166,"&gt;"&amp;EDATE('Previdência_(série)'!$A117,-12),'Previdência_(série)'!$A$2:$A$166,"&lt;"&amp;EDATE(A117,1))</f>
        <v>80252233934.62</v>
      </c>
      <c r="N117" s="5">
        <v>2161283293.63</v>
      </c>
      <c r="O117" s="5">
        <f>IF(MONTH('Previdência_(série)'!$A117)=1,'Previdência_(série)'!$N117,'Previdência_(série)'!$N117-N116)</f>
        <v>279775123.5</v>
      </c>
      <c r="P117" s="5">
        <f>SUMIFS('Previdência_(série)'!$O$2:$O$166,'Previdência_(série)'!$A$2:$A$166,"&gt;"&amp;EDATE('Previdência_(série)'!$A117,-12),'Previdência_(série)'!$A$2:$A$166,"&lt;"&amp;EDATE(A117,1))</f>
        <v>3262390875.17</v>
      </c>
      <c r="Q117" s="5">
        <v>26735892861.09</v>
      </c>
      <c r="R117" s="5">
        <f>IF(MONTH('Previdência_(série)'!$A117)=1,'Previdência_(série)'!$Q117,'Previdência_(série)'!$Q117-Q116)</f>
        <v>3251397102.18</v>
      </c>
      <c r="S117" s="5">
        <f>SUMIFS('Previdência_(série)'!$R$2:$R$166,'Previdência_(série)'!$A$2:$A$166,"&gt;"&amp;EDATE('Previdência_(série)'!$A117,-12),'Previdência_(série)'!$A$2:$A$166,"&lt;"&amp;EDATE(A117,1))</f>
        <v>40041755320.66</v>
      </c>
      <c r="T117" s="5">
        <v>247716089.66</v>
      </c>
      <c r="U117" s="5">
        <f>IF(MONTH('Previdência_(série)'!$A117)=1,'Previdência_(série)'!$T117,'Previdência_(série)'!$T117-T116)</f>
        <v>30855674.91</v>
      </c>
      <c r="V117" s="5">
        <f>SUMIFS('Previdência_(série)'!$U$2:$U$166,'Previdência_(série)'!$A$2:$A$166,"&gt;"&amp;EDATE('Previdência_(série)'!$A117,-12),'Previdência_(série)'!$A$2:$A$166,"&lt;"&amp;EDATE(A117,1))</f>
        <v>247716089.66</v>
      </c>
      <c r="W117" s="5">
        <v>3464888991.44</v>
      </c>
      <c r="X117" s="5">
        <f>IF(MONTH('Previdência_(série)'!$A117)=1,'Previdência_(série)'!$W117,'Previdência_(série)'!$W117-W116)</f>
        <v>435002590.8</v>
      </c>
      <c r="Y117" s="5">
        <f>SUMIFS('Previdência_(série)'!$X$2:$X$166,'Previdência_(série)'!$A$2:$A$166,"&gt;"&amp;EDATE('Previdência_(série)'!$A117,-12),'Previdência_(série)'!$A$2:$A$166,"&lt;"&amp;EDATE(A117,1))</f>
        <v>3464888991.44</v>
      </c>
      <c r="Z117" s="199"/>
      <c r="AA117" s="1"/>
      <c r="AB117" s="1"/>
      <c r="AC117" s="1"/>
      <c r="AD117" s="4" t="s">
        <v>593</v>
      </c>
      <c r="AE117" s="17">
        <v>42948</v>
      </c>
      <c r="AF117" s="4">
        <v>2017</v>
      </c>
    </row>
    <row ht="13.8" outlineLevel="0" r="118">
      <c r="A118" s="17">
        <v>42979</v>
      </c>
      <c r="B118" s="5">
        <v>270942793280.6</v>
      </c>
      <c r="C118" s="5">
        <f>IF(MONTH('Previdência_(série)'!$A118)=1,'Previdência_(série)'!$B118,'Previdência_(série)'!$B118-B117)</f>
        <v>30467649716.03</v>
      </c>
      <c r="D118" s="5">
        <f>SUMIFS('Previdência_(série)'!$C$2:$C$166,'Previdência_(série)'!$A$2:$A$166,"&gt;"&amp;EDATE('Previdência_(série)'!$A118,-12),'Previdência_(série)'!$A$2:$A$166,"&lt;"&amp;EDATE(A118,1))</f>
        <v>372712615896.14</v>
      </c>
      <c r="E118" s="5">
        <v>411508007120.86</v>
      </c>
      <c r="F118" s="5">
        <f>IF(MONTH('Previdência_(série)'!$A118)=1,'Previdência_(série)'!$E118,'Previdência_(série)'!$E118-E117)</f>
        <v>43336915027.52</v>
      </c>
      <c r="G118" s="5">
        <f>SUMIFS('Previdência_(série)'!$F$2:$F$166,'Previdência_(série)'!$A$2:$A$166,"&gt;"&amp;EDATE('Previdência_(série)'!$A118,-12),'Previdência_(série)'!$A$2:$A$166,"&lt;"&amp;EDATE(A118,1))</f>
        <v>550329503778.04</v>
      </c>
      <c r="H118" s="5">
        <v>23302564251.4</v>
      </c>
      <c r="I118" s="5">
        <f>IF(MONTH('Previdência_(série)'!$A118)=1,'Previdência_(série)'!$H118,'Previdência_(série)'!$H118-H117)</f>
        <v>2491279566.25</v>
      </c>
      <c r="J118" s="5">
        <f>SUMIFS('Previdência_(série)'!$I$2:$I$166,'Previdência_(série)'!$A$2:$A$166,"&gt;"&amp;EDATE('Previdência_(série)'!$A118,-12),'Previdência_(série)'!$A$2:$A$166,"&lt;"&amp;EDATE(A118,1))</f>
        <v>33363622368.89</v>
      </c>
      <c r="K118" s="5">
        <v>59843186429.48</v>
      </c>
      <c r="L118" s="5">
        <f>IF(MONTH('Previdência_(série)'!$A118)=1,'Previdência_(série)'!$K118,'Previdência_(série)'!$K118-K117)</f>
        <v>6405897707.73</v>
      </c>
      <c r="M118" s="5">
        <f>SUMIFS('Previdência_(série)'!$L$2:$L$166,'Previdência_(série)'!$A$2:$A$166,"&gt;"&amp;EDATE('Previdência_(série)'!$A118,-12),'Previdência_(série)'!$A$2:$A$166,"&lt;"&amp;EDATE(A118,1))</f>
        <v>80907744201.54</v>
      </c>
      <c r="N118" s="5">
        <v>2442532229.7</v>
      </c>
      <c r="O118" s="5">
        <f>IF(MONTH('Previdência_(série)'!$A118)=1,'Previdência_(série)'!$N118,'Previdência_(série)'!$N118-N117)</f>
        <v>281248936.07</v>
      </c>
      <c r="P118" s="5">
        <f>SUMIFS('Previdência_(série)'!$O$2:$O$166,'Previdência_(série)'!$A$2:$A$166,"&gt;"&amp;EDATE('Previdência_(série)'!$A118,-12),'Previdência_(série)'!$A$2:$A$166,"&lt;"&amp;EDATE(A118,1))</f>
        <v>3283874228.22</v>
      </c>
      <c r="Q118" s="5">
        <v>29909986939.38</v>
      </c>
      <c r="R118" s="5">
        <f>IF(MONTH('Previdência_(série)'!$A118)=1,'Previdência_(série)'!$Q118,'Previdência_(série)'!$Q118-Q117)</f>
        <v>3174094078.29</v>
      </c>
      <c r="S118" s="5">
        <f>SUMIFS('Previdência_(série)'!$R$2:$R$166,'Previdência_(série)'!$A$2:$A$166,"&gt;"&amp;EDATE('Previdência_(série)'!$A118,-12),'Previdência_(série)'!$A$2:$A$166,"&lt;"&amp;EDATE(A118,1))</f>
        <v>40282845125.19</v>
      </c>
      <c r="T118" s="5">
        <v>278648456.17</v>
      </c>
      <c r="U118" s="5">
        <f>IF(MONTH('Previdência_(série)'!$A118)=1,'Previdência_(série)'!$T118,'Previdência_(série)'!$T118-T117)</f>
        <v>30932366.51</v>
      </c>
      <c r="V118" s="5">
        <f>SUMIFS('Previdência_(série)'!$U$2:$U$166,'Previdência_(série)'!$A$2:$A$166,"&gt;"&amp;EDATE('Previdência_(série)'!$A118,-12),'Previdência_(série)'!$A$2:$A$166,"&lt;"&amp;EDATE(A118,1))</f>
        <v>278648456.17</v>
      </c>
      <c r="W118" s="5">
        <v>4004053309.69</v>
      </c>
      <c r="X118" s="5">
        <f>IF(MONTH('Previdência_(série)'!$A118)=1,'Previdência_(série)'!$W118,'Previdência_(série)'!$W118-W117)</f>
        <v>539164318.25</v>
      </c>
      <c r="Y118" s="5">
        <f>SUMIFS('Previdência_(série)'!$X$2:$X$166,'Previdência_(série)'!$A$2:$A$166,"&gt;"&amp;EDATE('Previdência_(série)'!$A118,-12),'Previdência_(série)'!$A$2:$A$166,"&lt;"&amp;EDATE(A118,1))</f>
        <v>4004053309.69</v>
      </c>
      <c r="Z118" s="199"/>
      <c r="AA118" s="1"/>
      <c r="AB118" s="1"/>
      <c r="AC118" s="1"/>
      <c r="AD118" s="4" t="s">
        <v>594</v>
      </c>
      <c r="AE118" s="17">
        <v>42979</v>
      </c>
      <c r="AF118" s="4">
        <v>2017</v>
      </c>
    </row>
    <row ht="13.8" outlineLevel="0" r="119">
      <c r="A119" s="17">
        <v>43009</v>
      </c>
      <c r="B119" s="5">
        <v>301391776677.71</v>
      </c>
      <c r="C119" s="5">
        <f>IF(MONTH('Previdência_(série)'!$A119)=1,'Previdência_(série)'!$B119,'Previdência_(série)'!$B119-B118)</f>
        <v>30448983397.11</v>
      </c>
      <c r="D119" s="5">
        <f>SUMIFS('Previdência_(série)'!$C$2:$C$166,'Previdência_(série)'!$A$2:$A$166,"&gt;"&amp;EDATE('Previdência_(série)'!$A119,-12),'Previdência_(série)'!$A$2:$A$166,"&lt;"&amp;EDATE(A119,1))</f>
        <v>374746600728.36</v>
      </c>
      <c r="E119" s="5">
        <v>455385464478.95</v>
      </c>
      <c r="F119" s="5">
        <f>IF(MONTH('Previdência_(série)'!$A119)=1,'Previdência_(série)'!$E119,'Previdência_(série)'!$E119-E118)</f>
        <v>43877457358.09</v>
      </c>
      <c r="G119" s="5">
        <f>SUMIFS('Previdência_(série)'!$F$2:$F$166,'Previdência_(série)'!$A$2:$A$166,"&gt;"&amp;EDATE('Previdência_(série)'!$A119,-12),'Previdência_(série)'!$A$2:$A$166,"&lt;"&amp;EDATE(A119,1))</f>
        <v>550931498863.14</v>
      </c>
      <c r="H119" s="5">
        <v>25960006717.15</v>
      </c>
      <c r="I119" s="5">
        <f>IF(MONTH('Previdência_(série)'!$A119)=1,'Previdência_(série)'!$H119,'Previdência_(série)'!$H119-H118)</f>
        <v>2657442465.75</v>
      </c>
      <c r="J119" s="5">
        <f>SUMIFS('Previdência_(série)'!$I$2:$I$166,'Previdência_(série)'!$A$2:$A$166,"&gt;"&amp;EDATE('Previdência_(série)'!$A119,-12),'Previdência_(série)'!$A$2:$A$166,"&lt;"&amp;EDATE(A119,1))</f>
        <v>33629686354.78</v>
      </c>
      <c r="K119" s="5">
        <v>66067999878.69</v>
      </c>
      <c r="L119" s="5">
        <f>IF(MONTH('Previdência_(série)'!$A119)=1,'Previdência_(série)'!$K119,'Previdência_(série)'!$K119-K118)</f>
        <v>6224813449.20999</v>
      </c>
      <c r="M119" s="5">
        <f>SUMIFS('Previdência_(série)'!$L$2:$L$166,'Previdência_(série)'!$A$2:$A$166,"&gt;"&amp;EDATE('Previdência_(série)'!$A119,-12),'Previdência_(série)'!$A$2:$A$166,"&lt;"&amp;EDATE(A119,1))</f>
        <v>81148448758.8</v>
      </c>
      <c r="N119" s="5">
        <v>2722814769.91</v>
      </c>
      <c r="O119" s="5">
        <f>IF(MONTH('Previdência_(série)'!$A119)=1,'Previdência_(série)'!$N119,'Previdência_(série)'!$N119-N118)</f>
        <v>280282540.210001</v>
      </c>
      <c r="P119" s="5">
        <f>SUMIFS('Previdência_(série)'!$O$2:$O$166,'Previdência_(série)'!$A$2:$A$166,"&gt;"&amp;EDATE('Previdência_(série)'!$A119,-12),'Previdência_(série)'!$A$2:$A$166,"&lt;"&amp;EDATE(A119,1))</f>
        <v>3304401259.89</v>
      </c>
      <c r="Q119" s="5">
        <v>33090098026.74</v>
      </c>
      <c r="R119" s="5">
        <f>IF(MONTH('Previdência_(série)'!$A119)=1,'Previdência_(série)'!$Q119,'Previdência_(série)'!$Q119-Q118)</f>
        <v>3180111087.36</v>
      </c>
      <c r="S119" s="5">
        <f>SUMIFS('Previdência_(série)'!$R$2:$R$166,'Previdência_(série)'!$A$2:$A$166,"&gt;"&amp;EDATE('Previdência_(série)'!$A119,-12),'Previdência_(série)'!$A$2:$A$166,"&lt;"&amp;EDATE(A119,1))</f>
        <v>40515186677.85</v>
      </c>
      <c r="T119" s="5">
        <v>309646405.28</v>
      </c>
      <c r="U119" s="5">
        <f>IF(MONTH('Previdência_(série)'!$A119)=1,'Previdência_(série)'!$T119,'Previdência_(série)'!$T119-T118)</f>
        <v>30997949.11</v>
      </c>
      <c r="V119" s="5">
        <f>SUMIFS('Previdência_(série)'!$U$2:$U$166,'Previdência_(série)'!$A$2:$A$166,"&gt;"&amp;EDATE('Previdência_(série)'!$A119,-12),'Previdência_(série)'!$A$2:$A$166,"&lt;"&amp;EDATE(A119,1))</f>
        <v>309646405.28</v>
      </c>
      <c r="W119" s="5">
        <v>4320461398</v>
      </c>
      <c r="X119" s="5">
        <f>IF(MONTH('Previdência_(série)'!$A119)=1,'Previdência_(série)'!$W119,'Previdência_(série)'!$W119-W118)</f>
        <v>316408088.31</v>
      </c>
      <c r="Y119" s="5">
        <f>SUMIFS('Previdência_(série)'!$X$2:$X$166,'Previdência_(série)'!$A$2:$A$166,"&gt;"&amp;EDATE('Previdência_(série)'!$A119,-12),'Previdência_(série)'!$A$2:$A$166,"&lt;"&amp;EDATE(A119,1))</f>
        <v>4320461398</v>
      </c>
      <c r="Z119" s="199"/>
      <c r="AA119" s="1"/>
      <c r="AB119" s="1"/>
      <c r="AC119" s="1"/>
      <c r="AD119" s="4" t="s">
        <v>595</v>
      </c>
      <c r="AE119" s="17">
        <v>43009</v>
      </c>
      <c r="AF119" s="4">
        <v>2017</v>
      </c>
    </row>
    <row ht="13.8" outlineLevel="0" r="120">
      <c r="A120" s="17">
        <v>43040</v>
      </c>
      <c r="B120" s="5">
        <v>332235757171.19</v>
      </c>
      <c r="C120" s="5">
        <f>IF(MONTH('Previdência_(série)'!$A120)=1,'Previdência_(série)'!$B120,'Previdência_(série)'!$B120-B119)</f>
        <v>30843980493.48</v>
      </c>
      <c r="D120" s="5">
        <f>SUMIFS('Previdência_(série)'!$C$2:$C$166,'Previdência_(série)'!$A$2:$A$166,"&gt;"&amp;EDATE('Previdência_(série)'!$A120,-12),'Previdência_(série)'!$A$2:$A$166,"&lt;"&amp;EDATE(A120,1))</f>
        <v>376990672646.85</v>
      </c>
      <c r="E120" s="5">
        <v>519222064282.62</v>
      </c>
      <c r="F120" s="5">
        <f>IF(MONTH('Previdência_(série)'!$A120)=1,'Previdência_(série)'!$E120,'Previdência_(série)'!$E120-E119)</f>
        <v>63836599803.67</v>
      </c>
      <c r="G120" s="5">
        <f>SUMIFS('Previdência_(série)'!$F$2:$F$166,'Previdência_(série)'!$A$2:$A$166,"&gt;"&amp;EDATE('Previdência_(série)'!$A120,-12),'Previdência_(série)'!$A$2:$A$166,"&lt;"&amp;EDATE(A120,1))</f>
        <v>556743985367.57</v>
      </c>
      <c r="H120" s="5">
        <v>30765451373.22</v>
      </c>
      <c r="I120" s="5">
        <f>IF(MONTH('Previdência_(série)'!$A120)=1,'Previdência_(série)'!$H120,'Previdência_(série)'!$H120-H119)</f>
        <v>4805444656.07</v>
      </c>
      <c r="J120" s="5">
        <f>SUMIFS('Previdência_(série)'!$I$2:$I$166,'Previdência_(série)'!$A$2:$A$166,"&gt;"&amp;EDATE('Previdência_(série)'!$A120,-12),'Previdência_(série)'!$A$2:$A$166,"&lt;"&amp;EDATE(A120,1))</f>
        <v>34056254848.62</v>
      </c>
      <c r="K120" s="5">
        <v>75307672982.81</v>
      </c>
      <c r="L120" s="5">
        <f>IF(MONTH('Previdência_(série)'!$A120)=1,'Previdência_(série)'!$K120,'Previdência_(série)'!$K120-K119)</f>
        <v>9239673104.12</v>
      </c>
      <c r="M120" s="5">
        <f>SUMIFS('Previdência_(série)'!$L$2:$L$166,'Previdência_(série)'!$A$2:$A$166,"&gt;"&amp;EDATE('Previdência_(série)'!$A120,-12),'Previdência_(série)'!$A$2:$A$166,"&lt;"&amp;EDATE(A120,1))</f>
        <v>81911618052.47</v>
      </c>
      <c r="N120" s="5">
        <v>2998305136.49</v>
      </c>
      <c r="O120" s="5">
        <f>IF(MONTH('Previdência_(série)'!$A120)=1,'Previdência_(série)'!$N120,'Previdência_(série)'!$N120-N119)</f>
        <v>275490366.58</v>
      </c>
      <c r="P120" s="5">
        <f>SUMIFS('Previdência_(série)'!$O$2:$O$166,'Previdência_(série)'!$A$2:$A$166,"&gt;"&amp;EDATE('Previdência_(série)'!$A120,-12),'Previdência_(série)'!$A$2:$A$166,"&lt;"&amp;EDATE(A120,1))</f>
        <v>3319595852.53</v>
      </c>
      <c r="Q120" s="5">
        <v>37834128213.26</v>
      </c>
      <c r="R120" s="5">
        <f>IF(MONTH('Previdência_(série)'!$A120)=1,'Previdência_(série)'!$Q120,'Previdência_(série)'!$Q120-Q119)</f>
        <v>4744030186.51999</v>
      </c>
      <c r="S120" s="5">
        <f>SUMIFS('Previdência_(série)'!$R$2:$R$166,'Previdência_(série)'!$A$2:$A$166,"&gt;"&amp;EDATE('Previdência_(série)'!$A120,-12),'Previdência_(série)'!$A$2:$A$166,"&lt;"&amp;EDATE(A120,1))</f>
        <v>40781178598.9</v>
      </c>
      <c r="T120" s="5">
        <v>340626381.41</v>
      </c>
      <c r="U120" s="5">
        <f>IF(MONTH('Previdência_(série)'!$A120)=1,'Previdência_(série)'!$T120,'Previdência_(série)'!$T120-T119)</f>
        <v>30979976.13</v>
      </c>
      <c r="V120" s="5">
        <f>SUMIFS('Previdência_(série)'!$U$2:$U$166,'Previdência_(série)'!$A$2:$A$166,"&gt;"&amp;EDATE('Previdência_(série)'!$A120,-12),'Previdência_(série)'!$A$2:$A$166,"&lt;"&amp;EDATE(A120,1))</f>
        <v>340626381.41</v>
      </c>
      <c r="W120" s="5">
        <v>4785624398.96</v>
      </c>
      <c r="X120" s="5">
        <f>IF(MONTH('Previdência_(série)'!$A120)=1,'Previdência_(série)'!$W120,'Previdência_(série)'!$W120-W119)</f>
        <v>465163000.96</v>
      </c>
      <c r="Y120" s="5">
        <f>SUMIFS('Previdência_(série)'!$X$2:$X$166,'Previdência_(série)'!$A$2:$A$166,"&gt;"&amp;EDATE('Previdência_(série)'!$A120,-12),'Previdência_(série)'!$A$2:$A$166,"&lt;"&amp;EDATE(A120,1))</f>
        <v>4785624398.96</v>
      </c>
      <c r="Z120" s="199"/>
      <c r="AA120" s="1"/>
      <c r="AB120" s="1"/>
      <c r="AC120" s="1"/>
      <c r="AD120" s="4" t="s">
        <v>596</v>
      </c>
      <c r="AE120" s="17">
        <v>43040</v>
      </c>
      <c r="AF120" s="4">
        <v>2017</v>
      </c>
    </row>
    <row ht="13.8" outlineLevel="0" r="121">
      <c r="A121" s="17">
        <v>43070</v>
      </c>
      <c r="B121" s="5">
        <v>379252361214.28</v>
      </c>
      <c r="C121" s="5">
        <f>IF(MONTH('Previdência_(série)'!$A121)=1,'Previdência_(série)'!$B121,'Previdência_(série)'!$B121-B120)</f>
        <v>47016604043.09</v>
      </c>
      <c r="D121" s="5">
        <f>SUMIFS('Previdência_(série)'!$C$2:$C$166,'Previdência_(série)'!$A$2:$A$166,"&gt;"&amp;EDATE('Previdência_(série)'!$A121,-12),'Previdência_(série)'!$A$2:$A$166,"&lt;"&amp;EDATE(A121,1))</f>
        <v>379252361214.28</v>
      </c>
      <c r="E121" s="5">
        <v>561393415907.26</v>
      </c>
      <c r="F121" s="5">
        <f>IF(MONTH('Previdência_(série)'!$A121)=1,'Previdência_(série)'!$E121,'Previdência_(série)'!$E121-E120)</f>
        <v>42171351624.64</v>
      </c>
      <c r="G121" s="5">
        <f>SUMIFS('Previdência_(série)'!$F$2:$F$166,'Previdência_(série)'!$A$2:$A$166,"&gt;"&amp;EDATE('Previdência_(série)'!$A121,-12),'Previdência_(série)'!$A$2:$A$166,"&lt;"&amp;EDATE(A121,1))</f>
        <v>561393415907.26</v>
      </c>
      <c r="H121" s="5">
        <v>33783331236.56</v>
      </c>
      <c r="I121" s="5">
        <f>IF(MONTH('Previdência_(série)'!$A121)=1,'Previdência_(série)'!$H121,'Previdência_(série)'!$H121-H120)</f>
        <v>3017879863.34</v>
      </c>
      <c r="J121" s="5">
        <f>SUMIFS('Previdência_(série)'!$I$2:$I$166,'Previdência_(série)'!$A$2:$A$166,"&gt;"&amp;EDATE('Previdência_(série)'!$A121,-12),'Previdência_(série)'!$A$2:$A$166,"&lt;"&amp;EDATE(A121,1))</f>
        <v>33783331236.56</v>
      </c>
      <c r="K121" s="5">
        <v>82448079560.67</v>
      </c>
      <c r="L121" s="5">
        <f>IF(MONTH('Previdência_(série)'!$A121)=1,'Previdência_(série)'!$K121,'Previdência_(série)'!$K121-K120)</f>
        <v>7140406577.86002</v>
      </c>
      <c r="M121" s="5">
        <f>SUMIFS('Previdência_(série)'!$L$2:$L$166,'Previdência_(série)'!$A$2:$A$166,"&gt;"&amp;EDATE('Previdência_(série)'!$A121,-12),'Previdência_(série)'!$A$2:$A$166,"&lt;"&amp;EDATE(A121,1))</f>
        <v>82448079560.67</v>
      </c>
      <c r="N121" s="5">
        <v>3342762688.54</v>
      </c>
      <c r="O121" s="5">
        <f>IF(MONTH('Previdência_(série)'!$A121)=1,'Previdência_(série)'!$N121,'Previdência_(série)'!$N121-N120)</f>
        <v>344457552.05</v>
      </c>
      <c r="P121" s="5">
        <f>SUMIFS('Previdência_(série)'!$O$2:$O$166,'Previdência_(série)'!$A$2:$A$166,"&gt;"&amp;EDATE('Previdência_(série)'!$A121,-12),'Previdência_(série)'!$A$2:$A$166,"&lt;"&amp;EDATE(A121,1))</f>
        <v>3342762688.54</v>
      </c>
      <c r="Q121" s="5">
        <v>41026959297.79</v>
      </c>
      <c r="R121" s="5">
        <f>IF(MONTH('Previdência_(série)'!$A121)=1,'Previdência_(série)'!$Q121,'Previdência_(série)'!$Q121-Q120)</f>
        <v>3192831084.53</v>
      </c>
      <c r="S121" s="5">
        <f>SUMIFS('Previdência_(série)'!$R$2:$R$166,'Previdência_(série)'!$A$2:$A$166,"&gt;"&amp;EDATE('Previdência_(série)'!$A121,-12),'Previdência_(série)'!$A$2:$A$166,"&lt;"&amp;EDATE(A121,1))</f>
        <v>41026959297.79</v>
      </c>
      <c r="T121" s="5">
        <v>387493210.47</v>
      </c>
      <c r="U121" s="5">
        <f>IF(MONTH('Previdência_(série)'!$A121)=1,'Previdência_(série)'!$T121,'Previdência_(série)'!$T121-T120)</f>
        <v>46866829.06</v>
      </c>
      <c r="V121" s="5">
        <f>SUMIFS('Previdência_(série)'!$U$2:$U$166,'Previdência_(série)'!$A$2:$A$166,"&gt;"&amp;EDATE('Previdência_(série)'!$A121,-12),'Previdência_(série)'!$A$2:$A$166,"&lt;"&amp;EDATE(A121,1))</f>
        <v>387493210.47</v>
      </c>
      <c r="W121" s="5">
        <v>4890283629.38</v>
      </c>
      <c r="X121" s="5">
        <f>IF(MONTH('Previdência_(série)'!$A121)=1,'Previdência_(série)'!$W121,'Previdência_(série)'!$W121-W120)</f>
        <v>104659230.42</v>
      </c>
      <c r="Y121" s="5">
        <f>SUMIFS('Previdência_(série)'!$X$2:$X$166,'Previdência_(série)'!$A$2:$A$166,"&gt;"&amp;EDATE('Previdência_(série)'!$A121,-12),'Previdência_(série)'!$A$2:$A$166,"&lt;"&amp;EDATE(A121,1))</f>
        <v>4890283629.38</v>
      </c>
      <c r="Z121" s="199"/>
      <c r="AA121" s="1"/>
      <c r="AB121" s="1"/>
      <c r="AC121" s="1"/>
      <c r="AD121" s="4" t="s">
        <v>597</v>
      </c>
      <c r="AE121" s="17">
        <v>43070</v>
      </c>
      <c r="AF121" s="4">
        <v>2017</v>
      </c>
    </row>
    <row ht="13.8" outlineLevel="0" r="122">
      <c r="A122" s="17">
        <v>43101</v>
      </c>
      <c r="B122" s="5">
        <v>31652004130.77</v>
      </c>
      <c r="C122" s="5">
        <f>IF(MONTH('Previdência_(série)'!$A122)=1,'Previdência_(série)'!$B122,'Previdência_(série)'!$B122-B121)</f>
        <v>31652004130.77</v>
      </c>
      <c r="D122" s="5">
        <f>SUMIFS('Previdência_(série)'!$C$2:$C$166,'Previdência_(série)'!$A$2:$A$166,"&gt;"&amp;EDATE('Previdência_(série)'!$A122,-12),'Previdência_(série)'!$A$2:$A$166,"&lt;"&amp;EDATE(A122,1))</f>
        <v>381483647205.76</v>
      </c>
      <c r="E122" s="5">
        <v>45507221951.02</v>
      </c>
      <c r="F122" s="5">
        <f>IF(MONTH('Previdência_(série)'!$A122)=1,'Previdência_(série)'!$E122,'Previdência_(série)'!$E122-E121)</f>
        <v>45507221951.02</v>
      </c>
      <c r="G122" s="5">
        <f>SUMIFS('Previdência_(série)'!$F$2:$F$166,'Previdência_(série)'!$A$2:$A$166,"&gt;"&amp;EDATE('Previdência_(série)'!$A122,-12),'Previdência_(série)'!$A$2:$A$166,"&lt;"&amp;EDATE(A122,1))</f>
        <v>562404528669.56</v>
      </c>
      <c r="H122" s="5">
        <v>2427925626.46</v>
      </c>
      <c r="I122" s="5">
        <f>IF(MONTH('Previdência_(série)'!$A122)=1,'Previdência_(série)'!$H122,'Previdência_(série)'!$H122-H121)</f>
        <v>2427925626.46</v>
      </c>
      <c r="J122" s="5">
        <f>SUMIFS('Previdência_(série)'!$I$2:$I$166,'Previdência_(série)'!$A$2:$A$166,"&gt;"&amp;EDATE('Previdência_(série)'!$A122,-12),'Previdência_(série)'!$A$2:$A$166,"&lt;"&amp;EDATE(A122,1))</f>
        <v>33751791975.5</v>
      </c>
      <c r="K122" s="5">
        <v>6291377285.32</v>
      </c>
      <c r="L122" s="5">
        <f>IF(MONTH('Previdência_(série)'!$A122)=1,'Previdência_(série)'!$K122,'Previdência_(série)'!$K122-K121)</f>
        <v>6291377285.32</v>
      </c>
      <c r="M122" s="5">
        <f>SUMIFS('Previdência_(série)'!$L$2:$L$166,'Previdência_(série)'!$A$2:$A$166,"&gt;"&amp;EDATE('Previdência_(série)'!$A122,-12),'Previdência_(série)'!$A$2:$A$166,"&lt;"&amp;EDATE(A122,1))</f>
        <v>82049174928.84</v>
      </c>
      <c r="N122" s="5">
        <v>148561494.95</v>
      </c>
      <c r="O122" s="5">
        <f>IF(MONTH('Previdência_(série)'!$A122)=1,'Previdência_(série)'!$N122,'Previdência_(série)'!$N122-N121)</f>
        <v>148561494.95</v>
      </c>
      <c r="P122" s="5">
        <f>SUMIFS('Previdência_(série)'!$O$2:$O$166,'Previdência_(série)'!$A$2:$A$166,"&gt;"&amp;EDATE('Previdência_(série)'!$A122,-12),'Previdência_(série)'!$A$2:$A$166,"&lt;"&amp;EDATE(A122,1))</f>
        <v>3279607600.61</v>
      </c>
      <c r="Q122" s="5">
        <v>3515046451.32</v>
      </c>
      <c r="R122" s="5">
        <f>IF(MONTH('Previdência_(série)'!$A122)=1,'Previdência_(série)'!$Q122,'Previdência_(série)'!$Q122-Q121)</f>
        <v>3515046451.32</v>
      </c>
      <c r="S122" s="5">
        <f>SUMIFS('Previdência_(série)'!$R$2:$R$166,'Previdência_(série)'!$A$2:$A$166,"&gt;"&amp;EDATE('Previdência_(série)'!$A122,-12),'Previdência_(série)'!$A$2:$A$166,"&lt;"&amp;EDATE(A122,1))</f>
        <v>41406228860.75</v>
      </c>
      <c r="T122" s="5">
        <v>31313189.88</v>
      </c>
      <c r="U122" s="5">
        <f>IF(MONTH('Previdência_(série)'!$A122)=1,'Previdência_(série)'!$T122,'Previdência_(série)'!$T122-T121)</f>
        <v>31313189.88</v>
      </c>
      <c r="V122" s="5">
        <f>SUMIFS('Previdência_(série)'!$U$2:$U$166,'Previdência_(série)'!$A$2:$A$166,"&gt;"&amp;EDATE('Previdência_(série)'!$A122,-12),'Previdência_(série)'!$A$2:$A$166,"&lt;"&amp;EDATE(A122,1))</f>
        <v>397688510.51</v>
      </c>
      <c r="W122" s="5">
        <v>376072000.71</v>
      </c>
      <c r="X122" s="5">
        <f>IF(MONTH('Previdência_(série)'!$A122)=1,'Previdência_(série)'!$W122,'Previdência_(série)'!$W122-W121)</f>
        <v>376072000.71</v>
      </c>
      <c r="Y122" s="5">
        <f>SUMIFS('Previdência_(série)'!$X$2:$X$166,'Previdência_(série)'!$A$2:$A$166,"&gt;"&amp;EDATE('Previdência_(série)'!$A122,-12),'Previdência_(série)'!$A$2:$A$166,"&lt;"&amp;EDATE(A122,1))</f>
        <v>4861468138.82</v>
      </c>
      <c r="Z122" s="199"/>
      <c r="AA122" s="1"/>
      <c r="AB122" s="1"/>
      <c r="AC122" s="1"/>
      <c r="AD122" s="4" t="s">
        <v>586</v>
      </c>
      <c r="AE122" s="17">
        <v>43101</v>
      </c>
      <c r="AF122" s="4">
        <v>2018</v>
      </c>
    </row>
    <row ht="13.8" outlineLevel="0" r="123">
      <c r="A123" s="17">
        <v>43132</v>
      </c>
      <c r="B123" s="5">
        <v>61752780492.88</v>
      </c>
      <c r="C123" s="5">
        <f>IF(MONTH('Previdência_(série)'!$A123)=1,'Previdência_(série)'!$B123,'Previdência_(série)'!$B123-B122)</f>
        <v>30100776362.11</v>
      </c>
      <c r="D123" s="5">
        <f>SUMIFS('Previdência_(série)'!$C$2:$C$166,'Previdência_(série)'!$A$2:$A$166,"&gt;"&amp;EDATE('Previdência_(série)'!$A123,-12),'Previdência_(série)'!$A$2:$A$166,"&lt;"&amp;EDATE(A123,1))</f>
        <v>382838707204.09</v>
      </c>
      <c r="E123" s="5">
        <v>89660253600.66</v>
      </c>
      <c r="F123" s="5">
        <f>IF(MONTH('Previdência_(série)'!$A123)=1,'Previdência_(série)'!$E123,'Previdência_(série)'!$E123-E122)</f>
        <v>44153031649.64</v>
      </c>
      <c r="G123" s="5">
        <f>SUMIFS('Previdência_(série)'!$F$2:$F$166,'Previdência_(série)'!$A$2:$A$166,"&gt;"&amp;EDATE('Previdência_(série)'!$A123,-12),'Previdência_(série)'!$A$2:$A$166,"&lt;"&amp;EDATE(A123,1))</f>
        <v>564467495395.59</v>
      </c>
      <c r="H123" s="5">
        <v>5043688713.58</v>
      </c>
      <c r="I123" s="5">
        <f>IF(MONTH('Previdência_(série)'!$A123)=1,'Previdência_(série)'!$H123,'Previdência_(série)'!$H123-H122)</f>
        <v>2615763087.12</v>
      </c>
      <c r="J123" s="5">
        <f>SUMIFS('Previdência_(série)'!$I$2:$I$166,'Previdência_(série)'!$A$2:$A$166,"&gt;"&amp;EDATE('Previdência_(série)'!$A123,-12),'Previdência_(série)'!$A$2:$A$166,"&lt;"&amp;EDATE(A123,1))</f>
        <v>33747537783.35</v>
      </c>
      <c r="K123" s="5">
        <v>12335293511.16</v>
      </c>
      <c r="L123" s="5">
        <f>IF(MONTH('Previdência_(série)'!$A123)=1,'Previdência_(série)'!$K123,'Previdência_(série)'!$K123-K122)</f>
        <v>6043916225.84</v>
      </c>
      <c r="M123" s="5">
        <f>SUMIFS('Previdência_(série)'!$L$2:$L$166,'Previdência_(série)'!$A$2:$A$166,"&gt;"&amp;EDATE('Previdência_(série)'!$A123,-12),'Previdência_(série)'!$A$2:$A$166,"&lt;"&amp;EDATE(A123,1))</f>
        <v>82010212152.99</v>
      </c>
      <c r="N123" s="5">
        <v>344006863.02</v>
      </c>
      <c r="O123" s="5">
        <f>IF(MONTH('Previdência_(série)'!$A123)=1,'Previdência_(série)'!$N123,'Previdência_(série)'!$N123-N122)</f>
        <v>195445368.07</v>
      </c>
      <c r="P123" s="5">
        <f>SUMIFS('Previdência_(série)'!$O$2:$O$166,'Previdência_(série)'!$A$2:$A$166,"&gt;"&amp;EDATE('Previdência_(série)'!$A123,-12),'Previdência_(série)'!$A$2:$A$166,"&lt;"&amp;EDATE(A123,1))</f>
        <v>3199075652.06</v>
      </c>
      <c r="Q123" s="5">
        <v>7036203477.18</v>
      </c>
      <c r="R123" s="5">
        <f>IF(MONTH('Previdência_(série)'!$A123)=1,'Previdência_(série)'!$Q123,'Previdência_(série)'!$Q123-Q122)</f>
        <v>3521157025.86</v>
      </c>
      <c r="S123" s="5">
        <f>SUMIFS('Previdência_(série)'!$R$2:$R$166,'Previdência_(série)'!$A$2:$A$166,"&gt;"&amp;EDATE('Previdência_(série)'!$A123,-12),'Previdência_(série)'!$A$2:$A$166,"&lt;"&amp;EDATE(A123,1))</f>
        <v>41713952149.8</v>
      </c>
      <c r="T123" s="5">
        <v>62482793.14</v>
      </c>
      <c r="U123" s="5">
        <f>IF(MONTH('Previdência_(série)'!$A123)=1,'Previdência_(série)'!$T123,'Previdência_(série)'!$T123-T122)</f>
        <v>31169603.26</v>
      </c>
      <c r="V123" s="5">
        <f>SUMIFS('Previdência_(série)'!$U$2:$U$166,'Previdência_(série)'!$A$2:$A$166,"&gt;"&amp;EDATE('Previdência_(série)'!$A123,-12),'Previdência_(série)'!$A$2:$A$166,"&lt;"&amp;EDATE(A123,1))</f>
        <v>387638434.3</v>
      </c>
      <c r="W123" s="5">
        <v>853499071.36</v>
      </c>
      <c r="X123" s="5">
        <f>IF(MONTH('Previdência_(série)'!$A123)=1,'Previdência_(série)'!$W123,'Previdência_(série)'!$W123-W122)</f>
        <v>477427070.65</v>
      </c>
      <c r="Y123" s="5">
        <f>SUMIFS('Previdência_(série)'!$X$2:$X$166,'Previdência_(série)'!$A$2:$A$166,"&gt;"&amp;EDATE('Previdência_(série)'!$A123,-12),'Previdência_(série)'!$A$2:$A$166,"&lt;"&amp;EDATE(A123,1))</f>
        <v>4745006453.24</v>
      </c>
      <c r="Z123" s="199"/>
      <c r="AA123" s="1"/>
      <c r="AB123" s="1"/>
      <c r="AC123" s="1"/>
      <c r="AD123" s="4" t="s">
        <v>587</v>
      </c>
      <c r="AE123" s="17">
        <v>43132</v>
      </c>
      <c r="AF123" s="4">
        <v>2018</v>
      </c>
    </row>
    <row ht="13.8" outlineLevel="0" r="124">
      <c r="A124" s="17">
        <v>43160</v>
      </c>
      <c r="B124" s="5">
        <v>91673578382.44</v>
      </c>
      <c r="C124" s="5">
        <f>IF(MONTH('Previdência_(série)'!$A124)=1,'Previdência_(série)'!$B124,'Previdência_(série)'!$B124-B123)</f>
        <v>29920797889.56</v>
      </c>
      <c r="D124" s="5">
        <f>SUMIFS('Previdência_(série)'!$C$2:$C$166,'Previdência_(série)'!$A$2:$A$166,"&gt;"&amp;EDATE('Previdência_(série)'!$A124,-12),'Previdência_(série)'!$A$2:$A$166,"&lt;"&amp;EDATE(A124,1))</f>
        <v>382874112968.82</v>
      </c>
      <c r="E124" s="5">
        <v>139386769837.32</v>
      </c>
      <c r="F124" s="5">
        <f>IF(MONTH('Previdência_(série)'!$A124)=1,'Previdência_(série)'!$E124,'Previdência_(série)'!$E124-E123)</f>
        <v>49726516236.66</v>
      </c>
      <c r="G124" s="5">
        <f>SUMIFS('Previdência_(série)'!$F$2:$F$166,'Previdência_(série)'!$A$2:$A$166,"&gt;"&amp;EDATE('Previdência_(série)'!$A124,-12),'Previdência_(série)'!$A$2:$A$166,"&lt;"&amp;EDATE(A124,1))</f>
        <v>571835785634.04</v>
      </c>
      <c r="H124" s="5">
        <v>7578512339.16</v>
      </c>
      <c r="I124" s="5">
        <f>IF(MONTH('Previdência_(série)'!$A124)=1,'Previdência_(série)'!$H124,'Previdência_(série)'!$H124-H123)</f>
        <v>2534823625.58</v>
      </c>
      <c r="J124" s="5">
        <f>SUMIFS('Previdência_(série)'!$I$2:$I$166,'Previdência_(série)'!$A$2:$A$166,"&gt;"&amp;EDATE('Previdência_(série)'!$A124,-12),'Previdência_(série)'!$A$2:$A$166,"&lt;"&amp;EDATE(A124,1))</f>
        <v>33725414528.18</v>
      </c>
      <c r="K124" s="5">
        <v>18712304186.95</v>
      </c>
      <c r="L124" s="5">
        <f>IF(MONTH('Previdência_(série)'!$A124)=1,'Previdência_(série)'!$K124,'Previdência_(série)'!$K124-K123)</f>
        <v>6377010675.79</v>
      </c>
      <c r="M124" s="5">
        <f>SUMIFS('Previdência_(série)'!$L$2:$L$166,'Previdência_(série)'!$A$2:$A$166,"&gt;"&amp;EDATE('Previdência_(série)'!$A124,-12),'Previdência_(série)'!$A$2:$A$166,"&lt;"&amp;EDATE(A124,1))</f>
        <v>82130158076.66</v>
      </c>
      <c r="N124" s="5">
        <v>539672433.36</v>
      </c>
      <c r="O124" s="5">
        <f>IF(MONTH('Previdência_(série)'!$A124)=1,'Previdência_(série)'!$N124,'Previdência_(série)'!$N124-N123)</f>
        <v>195665570.34</v>
      </c>
      <c r="P124" s="5">
        <f>SUMIFS('Previdência_(série)'!$O$2:$O$166,'Previdência_(série)'!$A$2:$A$166,"&gt;"&amp;EDATE('Previdência_(série)'!$A124,-12),'Previdência_(série)'!$A$2:$A$166,"&lt;"&amp;EDATE(A124,1))</f>
        <v>3118593227.67</v>
      </c>
      <c r="Q124" s="5">
        <v>10571017739.4</v>
      </c>
      <c r="R124" s="5">
        <f>IF(MONTH('Previdência_(série)'!$A124)=1,'Previdência_(série)'!$Q124,'Previdência_(série)'!$Q124-Q123)</f>
        <v>3534814262.22</v>
      </c>
      <c r="S124" s="5">
        <f>SUMIFS('Previdência_(série)'!$R$2:$R$166,'Previdência_(série)'!$A$2:$A$166,"&gt;"&amp;EDATE('Previdência_(série)'!$A124,-12),'Previdência_(série)'!$A$2:$A$166,"&lt;"&amp;EDATE(A124,1))</f>
        <v>42188106015.86</v>
      </c>
      <c r="T124" s="5">
        <v>92177677.84</v>
      </c>
      <c r="U124" s="5">
        <f>IF(MONTH('Previdência_(série)'!$A124)=1,'Previdência_(série)'!$T124,'Previdência_(série)'!$T124-T123)</f>
        <v>29694884.7</v>
      </c>
      <c r="V124" s="5">
        <f>SUMIFS('Previdência_(série)'!$U$2:$U$166,'Previdência_(série)'!$A$2:$A$166,"&gt;"&amp;EDATE('Previdência_(série)'!$A124,-12),'Previdência_(série)'!$A$2:$A$166,"&lt;"&amp;EDATE(A124,1))</f>
        <v>386478487.47</v>
      </c>
      <c r="W124" s="5">
        <v>1305161328.91</v>
      </c>
      <c r="X124" s="5">
        <f>IF(MONTH('Previdência_(série)'!$A124)=1,'Previdência_(série)'!$W124,'Previdência_(série)'!$W124-W123)</f>
        <v>451662257.55</v>
      </c>
      <c r="Y124" s="5">
        <f>SUMIFS('Previdência_(série)'!$X$2:$X$166,'Previdência_(série)'!$A$2:$A$166,"&gt;"&amp;EDATE('Previdência_(série)'!$A124,-12),'Previdência_(série)'!$A$2:$A$166,"&lt;"&amp;EDATE(A124,1))</f>
        <v>4741720236.89</v>
      </c>
      <c r="Z124" s="199"/>
      <c r="AA124" s="1"/>
      <c r="AB124" s="1"/>
      <c r="AC124" s="1"/>
      <c r="AD124" s="4" t="s">
        <v>588</v>
      </c>
      <c r="AE124" s="17">
        <v>43160</v>
      </c>
      <c r="AF124" s="4">
        <v>2018</v>
      </c>
    </row>
    <row ht="13.8" outlineLevel="0" r="125">
      <c r="A125" s="17">
        <v>43191</v>
      </c>
      <c r="B125" s="5">
        <v>124477953964.56</v>
      </c>
      <c r="C125" s="5">
        <f>IF(MONTH('Previdência_(série)'!$A125)=1,'Previdência_(série)'!$B125,'Previdência_(série)'!$B125-B124)</f>
        <v>32804375582.12</v>
      </c>
      <c r="D125" s="5">
        <f>SUMIFS('Previdência_(série)'!$C$2:$C$166,'Previdência_(série)'!$A$2:$A$166,"&gt;"&amp;EDATE('Previdência_(série)'!$A125,-12),'Previdência_(série)'!$A$2:$A$166,"&lt;"&amp;EDATE(A125,1))</f>
        <v>384274730228.98</v>
      </c>
      <c r="E125" s="5">
        <v>184757964429.88</v>
      </c>
      <c r="F125" s="5">
        <f>IF(MONTH('Previdência_(série)'!$A125)=1,'Previdência_(série)'!$E125,'Previdência_(série)'!$E125-E124)</f>
        <v>45371194592.56</v>
      </c>
      <c r="G125" s="5">
        <f>SUMIFS('Previdência_(série)'!$F$2:$F$166,'Previdência_(série)'!$A$2:$A$166,"&gt;"&amp;EDATE('Previdência_(série)'!$A125,-12),'Previdência_(série)'!$A$2:$A$166,"&lt;"&amp;EDATE(A125,1))</f>
        <v>573721735556.61</v>
      </c>
      <c r="H125" s="5">
        <v>10272273326.04</v>
      </c>
      <c r="I125" s="5">
        <f>IF(MONTH('Previdência_(série)'!$A125)=1,'Previdência_(série)'!$H125,'Previdência_(série)'!$H125-H124)</f>
        <v>2693760986.88</v>
      </c>
      <c r="J125" s="5">
        <f>SUMIFS('Previdência_(série)'!$I$2:$I$166,'Previdência_(série)'!$A$2:$A$166,"&gt;"&amp;EDATE('Previdência_(série)'!$A125,-12),'Previdência_(série)'!$A$2:$A$166,"&lt;"&amp;EDATE(A125,1))</f>
        <v>33883750679.42</v>
      </c>
      <c r="K125" s="5">
        <v>24800470929.89</v>
      </c>
      <c r="L125" s="5">
        <f>IF(MONTH('Previdência_(série)'!$A125)=1,'Previdência_(série)'!$K125,'Previdência_(série)'!$K125-K124)</f>
        <v>6088166742.94</v>
      </c>
      <c r="M125" s="5">
        <f>SUMIFS('Previdência_(série)'!$L$2:$L$166,'Previdência_(série)'!$A$2:$A$166,"&gt;"&amp;EDATE('Previdência_(série)'!$A125,-12),'Previdência_(série)'!$A$2:$A$166,"&lt;"&amp;EDATE(A125,1))</f>
        <v>82065971963.4</v>
      </c>
      <c r="N125" s="5">
        <v>736135272.45</v>
      </c>
      <c r="O125" s="5">
        <f>IF(MONTH('Previdência_(série)'!$A125)=1,'Previdência_(série)'!$N125,'Previdência_(série)'!$N125-N124)</f>
        <v>196462839.09</v>
      </c>
      <c r="P125" s="5">
        <f>SUMIFS('Previdência_(série)'!$O$2:$O$166,'Previdência_(série)'!$A$2:$A$166,"&gt;"&amp;EDATE('Previdência_(série)'!$A125,-12),'Previdência_(série)'!$A$2:$A$166,"&lt;"&amp;EDATE(A125,1))</f>
        <v>3038016395.8</v>
      </c>
      <c r="Q125" s="5">
        <v>14095109048.5</v>
      </c>
      <c r="R125" s="5">
        <f>IF(MONTH('Previdência_(série)'!$A125)=1,'Previdência_(série)'!$Q125,'Previdência_(série)'!$Q125-Q124)</f>
        <v>3524091309.1</v>
      </c>
      <c r="S125" s="5">
        <f>SUMIFS('Previdência_(série)'!$R$2:$R$166,'Previdência_(série)'!$A$2:$A$166,"&gt;"&amp;EDATE('Previdência_(série)'!$A125,-12),'Previdência_(série)'!$A$2:$A$166,"&lt;"&amp;EDATE(A125,1))</f>
        <v>42565339804.14</v>
      </c>
      <c r="T125" s="5">
        <v>123157740.61</v>
      </c>
      <c r="U125" s="5">
        <f>IF(MONTH('Previdência_(série)'!$A125)=1,'Previdência_(série)'!$T125,'Previdência_(série)'!$T125-T124)</f>
        <v>30980062.77</v>
      </c>
      <c r="V125" s="5">
        <f>SUMIFS('Previdência_(série)'!$U$2:$U$166,'Previdência_(série)'!$A$2:$A$166,"&gt;"&amp;EDATE('Previdência_(série)'!$A125,-12),'Previdência_(série)'!$A$2:$A$166,"&lt;"&amp;EDATE(A125,1))</f>
        <v>386486740.3</v>
      </c>
      <c r="W125" s="5">
        <v>1611154908.25</v>
      </c>
      <c r="X125" s="5">
        <f>IF(MONTH('Previdência_(série)'!$A125)=1,'Previdência_(série)'!$W125,'Previdência_(série)'!$W125-W124)</f>
        <v>305993579.34</v>
      </c>
      <c r="Y125" s="5">
        <f>SUMIFS('Previdência_(série)'!$X$2:$X$166,'Previdência_(série)'!$A$2:$A$166,"&gt;"&amp;EDATE('Previdência_(série)'!$A125,-12),'Previdência_(série)'!$A$2:$A$166,"&lt;"&amp;EDATE(A125,1))</f>
        <v>4634242752.19</v>
      </c>
      <c r="Z125" s="199"/>
      <c r="AA125" s="1"/>
      <c r="AB125" s="1"/>
      <c r="AC125" s="1"/>
      <c r="AD125" s="4" t="s">
        <v>589</v>
      </c>
      <c r="AE125" s="17">
        <v>43191</v>
      </c>
      <c r="AF125" s="4">
        <v>2018</v>
      </c>
    </row>
    <row ht="13.8" outlineLevel="0" r="126">
      <c r="A126" s="17">
        <v>43221</v>
      </c>
      <c r="B126" s="5">
        <v>155002682508.77</v>
      </c>
      <c r="C126" s="5">
        <f>IF(MONTH('Previdência_(série)'!$A126)=1,'Previdência_(série)'!$B126,'Previdência_(série)'!$B126-B125)</f>
        <v>30524728544.21</v>
      </c>
      <c r="D126" s="5">
        <f>SUMIFS('Previdência_(série)'!$C$2:$C$166,'Previdência_(série)'!$A$2:$A$166,"&gt;"&amp;EDATE('Previdência_(série)'!$A126,-12),'Previdência_(série)'!$A$2:$A$166,"&lt;"&amp;EDATE(A126,1))</f>
        <v>384918391471.99</v>
      </c>
      <c r="E126" s="5">
        <v>230090786818.45</v>
      </c>
      <c r="F126" s="5">
        <f>IF(MONTH('Previdência_(série)'!$A126)=1,'Previdência_(série)'!$E126,'Previdência_(série)'!$E126-E125)</f>
        <v>45332822388.57</v>
      </c>
      <c r="G126" s="5">
        <f>SUMIFS('Previdência_(série)'!$F$2:$F$166,'Previdência_(série)'!$A$2:$A$166,"&gt;"&amp;EDATE('Previdência_(série)'!$A126,-12),'Previdência_(série)'!$A$2:$A$166,"&lt;"&amp;EDATE(A126,1))</f>
        <v>571783931281.83</v>
      </c>
      <c r="H126" s="5">
        <v>12953306035.38</v>
      </c>
      <c r="I126" s="5">
        <f>IF(MONTH('Previdência_(série)'!$A126)=1,'Previdência_(série)'!$H126,'Previdência_(série)'!$H126-H125)</f>
        <v>2681032709.34</v>
      </c>
      <c r="J126" s="5">
        <f>SUMIFS('Previdência_(série)'!$I$2:$I$166,'Previdência_(série)'!$A$2:$A$166,"&gt;"&amp;EDATE('Previdência_(série)'!$A126,-12),'Previdência_(série)'!$A$2:$A$166,"&lt;"&amp;EDATE(A126,1))</f>
        <v>34025131674.52</v>
      </c>
      <c r="K126" s="5">
        <v>30984294656.37</v>
      </c>
      <c r="L126" s="5">
        <f>IF(MONTH('Previdência_(série)'!$A126)=1,'Previdência_(série)'!$K126,'Previdência_(série)'!$K126-K125)</f>
        <v>6183823726.48</v>
      </c>
      <c r="M126" s="5">
        <f>SUMIFS('Previdência_(série)'!$L$2:$L$166,'Previdência_(série)'!$A$2:$A$166,"&gt;"&amp;EDATE('Previdência_(série)'!$A126,-12),'Previdência_(série)'!$A$2:$A$166,"&lt;"&amp;EDATE(A126,1))</f>
        <v>81516884084.32</v>
      </c>
      <c r="N126" s="5">
        <v>932790745.04</v>
      </c>
      <c r="O126" s="5">
        <f>IF(MONTH('Previdência_(série)'!$A126)=1,'Previdência_(série)'!$N126,'Previdência_(série)'!$N126-N125)</f>
        <v>196655472.59</v>
      </c>
      <c r="P126" s="5">
        <f>SUMIFS('Previdência_(série)'!$O$2:$O$166,'Previdência_(série)'!$A$2:$A$166,"&gt;"&amp;EDATE('Previdência_(série)'!$A126,-12),'Previdência_(série)'!$A$2:$A$166,"&lt;"&amp;EDATE(A126,1))</f>
        <v>2956047745.94</v>
      </c>
      <c r="Q126" s="5">
        <v>17639668280.08</v>
      </c>
      <c r="R126" s="5">
        <f>IF(MONTH('Previdência_(série)'!$A126)=1,'Previdência_(série)'!$Q126,'Previdência_(série)'!$Q126-Q125)</f>
        <v>3544559231.58</v>
      </c>
      <c r="S126" s="5">
        <f>SUMIFS('Previdência_(série)'!$R$2:$R$166,'Previdência_(série)'!$A$2:$A$166,"&gt;"&amp;EDATE('Previdência_(série)'!$A126,-12),'Previdência_(série)'!$A$2:$A$166,"&lt;"&amp;EDATE(A126,1))</f>
        <v>42964427018.13</v>
      </c>
      <c r="T126" s="5">
        <v>154119467.13</v>
      </c>
      <c r="U126" s="5">
        <f>IF(MONTH('Previdência_(série)'!$A126)=1,'Previdência_(série)'!$T126,'Previdência_(série)'!$T126-T125)</f>
        <v>30961726.52</v>
      </c>
      <c r="V126" s="5">
        <f>SUMIFS('Previdência_(série)'!$U$2:$U$166,'Previdência_(série)'!$A$2:$A$166,"&gt;"&amp;EDATE('Previdência_(série)'!$A126,-12),'Previdência_(série)'!$A$2:$A$166,"&lt;"&amp;EDATE(A126,1))</f>
        <v>386531544.06</v>
      </c>
      <c r="W126" s="5">
        <v>2013277217.42</v>
      </c>
      <c r="X126" s="5">
        <f>IF(MONTH('Previdência_(série)'!$A126)=1,'Previdência_(série)'!$W126,'Previdência_(série)'!$W126-W125)</f>
        <v>402122309.17</v>
      </c>
      <c r="Y126" s="5">
        <f>SUMIFS('Previdência_(série)'!$X$2:$X$166,'Previdência_(série)'!$A$2:$A$166,"&gt;"&amp;EDATE('Previdência_(série)'!$A126,-12),'Previdência_(série)'!$A$2:$A$166,"&lt;"&amp;EDATE(A126,1))</f>
        <v>4730568941.26</v>
      </c>
      <c r="Z126" s="199"/>
      <c r="AA126" s="1"/>
      <c r="AB126" s="1"/>
      <c r="AC126" s="1"/>
      <c r="AD126" s="4" t="s">
        <v>590</v>
      </c>
      <c r="AE126" s="17">
        <v>43221</v>
      </c>
      <c r="AF126" s="4">
        <v>2018</v>
      </c>
    </row>
    <row ht="13.8" outlineLevel="0" r="127">
      <c r="A127" s="17">
        <v>43252</v>
      </c>
      <c r="B127" s="5">
        <v>185747246141.42</v>
      </c>
      <c r="C127" s="5">
        <f>IF(MONTH('Previdência_(série)'!$A127)=1,'Previdência_(série)'!$B127,'Previdência_(série)'!$B127-B126)</f>
        <v>30744563632.65</v>
      </c>
      <c r="D127" s="5">
        <f>SUMIFS('Previdência_(série)'!$C$2:$C$166,'Previdência_(série)'!$A$2:$A$166,"&gt;"&amp;EDATE('Previdência_(série)'!$A127,-12),'Previdência_(série)'!$A$2:$A$166,"&lt;"&amp;EDATE(A127,1))</f>
        <v>385272817889.56</v>
      </c>
      <c r="E127" s="5">
        <v>275266633839.32</v>
      </c>
      <c r="F127" s="5">
        <f>IF(MONTH('Previdência_(série)'!$A127)=1,'Previdência_(série)'!$E127,'Previdência_(série)'!$E127-E126)</f>
        <v>45175847020.87</v>
      </c>
      <c r="G127" s="5">
        <f>SUMIFS('Previdência_(série)'!$F$2:$F$166,'Previdência_(série)'!$A$2:$A$166,"&gt;"&amp;EDATE('Previdência_(série)'!$A127,-12),'Previdência_(série)'!$A$2:$A$166,"&lt;"&amp;EDATE(A127,1))</f>
        <v>573845260055.46</v>
      </c>
      <c r="H127" s="5">
        <v>15539975987.99</v>
      </c>
      <c r="I127" s="5">
        <f>IF(MONTH('Previdência_(série)'!$A127)=1,'Previdência_(série)'!$H127,'Previdência_(série)'!$H127-H126)</f>
        <v>2586669952.61</v>
      </c>
      <c r="J127" s="5">
        <f>SUMIFS('Previdência_(série)'!$I$2:$I$166,'Previdência_(série)'!$A$2:$A$166,"&gt;"&amp;EDATE('Previdência_(série)'!$A127,-12),'Previdência_(série)'!$A$2:$A$166,"&lt;"&amp;EDATE(A127,1))</f>
        <v>33879626564.95</v>
      </c>
      <c r="K127" s="5">
        <v>39621668811.07</v>
      </c>
      <c r="L127" s="5">
        <f>IF(MONTH('Previdência_(série)'!$A127)=1,'Previdência_(série)'!$K127,'Previdência_(série)'!$K127-K126)</f>
        <v>8637374154.7</v>
      </c>
      <c r="M127" s="5">
        <f>SUMIFS('Previdência_(série)'!$L$2:$L$166,'Previdência_(série)'!$A$2:$A$166,"&gt;"&amp;EDATE('Previdência_(série)'!$A127,-12),'Previdência_(série)'!$A$2:$A$166,"&lt;"&amp;EDATE(A127,1))</f>
        <v>81335659614.05</v>
      </c>
      <c r="N127" s="5">
        <v>1129664813.14</v>
      </c>
      <c r="O127" s="5">
        <f>IF(MONTH('Previdência_(série)'!$A127)=1,'Previdência_(série)'!$N127,'Previdência_(série)'!$N127-N126)</f>
        <v>196874068.1</v>
      </c>
      <c r="P127" s="5">
        <f>SUMIFS('Previdência_(série)'!$O$2:$O$166,'Previdência_(série)'!$A$2:$A$166,"&gt;"&amp;EDATE('Previdência_(série)'!$A127,-12),'Previdência_(série)'!$A$2:$A$166,"&lt;"&amp;EDATE(A127,1))</f>
        <v>2872416927.78</v>
      </c>
      <c r="Q127" s="5">
        <v>22931303689.66</v>
      </c>
      <c r="R127" s="5">
        <f>IF(MONTH('Previdência_(série)'!$A127)=1,'Previdência_(série)'!$Q127,'Previdência_(série)'!$Q127-Q126)</f>
        <v>5291635409.58</v>
      </c>
      <c r="S127" s="5">
        <f>SUMIFS('Previdência_(série)'!$R$2:$R$166,'Previdência_(série)'!$A$2:$A$166,"&gt;"&amp;EDATE('Previdência_(série)'!$A127,-12),'Previdência_(série)'!$A$2:$A$166,"&lt;"&amp;EDATE(A127,1))</f>
        <v>43536409913.16</v>
      </c>
      <c r="T127" s="5">
        <v>168431593.39</v>
      </c>
      <c r="U127" s="5">
        <f>IF(MONTH('Previdência_(série)'!$A127)=1,'Previdência_(série)'!$T127,'Previdência_(série)'!$T127-T126)</f>
        <v>14312126.26</v>
      </c>
      <c r="V127" s="5">
        <f>SUMIFS('Previdência_(série)'!$U$2:$U$166,'Previdência_(série)'!$A$2:$A$166,"&gt;"&amp;EDATE('Previdência_(série)'!$A127,-12),'Previdência_(série)'!$A$2:$A$166,"&lt;"&amp;EDATE(A127,1))</f>
        <v>369992245.42</v>
      </c>
      <c r="W127" s="5">
        <v>2486823813.28</v>
      </c>
      <c r="X127" s="5">
        <f>IF(MONTH('Previdência_(série)'!$A127)=1,'Previdência_(série)'!$W127,'Previdência_(série)'!$W127-W126)</f>
        <v>473546595.86</v>
      </c>
      <c r="Y127" s="5">
        <f>SUMIFS('Previdência_(série)'!$X$2:$X$166,'Previdência_(série)'!$A$2:$A$166,"&gt;"&amp;EDATE('Previdência_(série)'!$A127,-12),'Previdência_(série)'!$A$2:$A$166,"&lt;"&amp;EDATE(A127,1))</f>
        <v>4717351395.07</v>
      </c>
      <c r="Z127" s="199"/>
      <c r="AA127" s="1"/>
      <c r="AB127" s="1"/>
      <c r="AC127" s="1"/>
      <c r="AD127" s="4" t="s">
        <v>591</v>
      </c>
      <c r="AE127" s="17">
        <v>43252</v>
      </c>
      <c r="AF127" s="4">
        <v>2018</v>
      </c>
    </row>
    <row ht="13.8" outlineLevel="0" r="128">
      <c r="A128" s="17">
        <v>43282</v>
      </c>
      <c r="B128" s="5">
        <v>216545415221.31</v>
      </c>
      <c r="C128" s="5">
        <f>IF(MONTH('Previdência_(série)'!$A128)=1,'Previdência_(série)'!$B128,'Previdência_(série)'!$B128-B127)</f>
        <v>30798169079.89</v>
      </c>
      <c r="D128" s="5">
        <f>SUMIFS('Previdência_(série)'!$C$2:$C$166,'Previdência_(série)'!$A$2:$A$166,"&gt;"&amp;EDATE('Previdência_(série)'!$A128,-12),'Previdência_(série)'!$A$2:$A$166,"&lt;"&amp;EDATE(A128,1))</f>
        <v>385973206041.56</v>
      </c>
      <c r="E128" s="5">
        <v>320790540981.45</v>
      </c>
      <c r="F128" s="5">
        <f>IF(MONTH('Previdência_(série)'!$A128)=1,'Previdência_(série)'!$E128,'Previdência_(série)'!$E128-E127)</f>
        <v>45523907142.13</v>
      </c>
      <c r="G128" s="5">
        <f>SUMIFS('Previdência_(série)'!$F$2:$F$166,'Previdência_(série)'!$A$2:$A$166,"&gt;"&amp;EDATE('Previdência_(série)'!$A128,-12),'Previdência_(série)'!$A$2:$A$166,"&lt;"&amp;EDATE(A128,1))</f>
        <v>576417640366.51</v>
      </c>
      <c r="H128" s="5">
        <v>18151433778.45</v>
      </c>
      <c r="I128" s="5">
        <f>IF(MONTH('Previdência_(série)'!$A128)=1,'Previdência_(série)'!$H128,'Previdência_(série)'!$H128-H127)</f>
        <v>2611457790.46</v>
      </c>
      <c r="J128" s="5">
        <f>SUMIFS('Previdência_(série)'!$I$2:$I$166,'Previdência_(série)'!$A$2:$A$166,"&gt;"&amp;EDATE('Previdência_(série)'!$A128,-12),'Previdência_(série)'!$A$2:$A$166,"&lt;"&amp;EDATE(A128,1))</f>
        <v>33795596271.7</v>
      </c>
      <c r="K128" s="5">
        <v>45748404562.78</v>
      </c>
      <c r="L128" s="5">
        <f>IF(MONTH('Previdência_(série)'!$A128)=1,'Previdência_(série)'!$K128,'Previdência_(série)'!$K128-K127)</f>
        <v>6126735751.71</v>
      </c>
      <c r="M128" s="5">
        <f>SUMIFS('Previdência_(série)'!$L$2:$L$166,'Previdência_(série)'!$A$2:$A$166,"&gt;"&amp;EDATE('Previdência_(série)'!$A128,-12),'Previdência_(série)'!$A$2:$A$166,"&lt;"&amp;EDATE(A128,1))</f>
        <v>81127247993.94</v>
      </c>
      <c r="N128" s="5">
        <v>1326907123.04</v>
      </c>
      <c r="O128" s="5">
        <f>IF(MONTH('Previdência_(série)'!$A128)=1,'Previdência_(série)'!$N128,'Previdência_(série)'!$N128-N127)</f>
        <v>197242309.9</v>
      </c>
      <c r="P128" s="5">
        <f>SUMIFS('Previdência_(série)'!$O$2:$O$166,'Previdência_(série)'!$A$2:$A$166,"&gt;"&amp;EDATE('Previdência_(série)'!$A128,-12),'Previdência_(série)'!$A$2:$A$166,"&lt;"&amp;EDATE(A128,1))</f>
        <v>2788161641.45</v>
      </c>
      <c r="Q128" s="5">
        <v>26496553069.72</v>
      </c>
      <c r="R128" s="5">
        <f>IF(MONTH('Previdência_(série)'!$A128)=1,'Previdência_(série)'!$Q128,'Previdência_(série)'!$Q128-Q127)</f>
        <v>3565249380.06</v>
      </c>
      <c r="S128" s="5">
        <f>SUMIFS('Previdência_(série)'!$R$2:$R$166,'Previdência_(série)'!$A$2:$A$166,"&gt;"&amp;EDATE('Previdência_(série)'!$A128,-12),'Previdência_(série)'!$A$2:$A$166,"&lt;"&amp;EDATE(A128,1))</f>
        <v>44039016608.6</v>
      </c>
      <c r="T128" s="5">
        <v>182689516.44</v>
      </c>
      <c r="U128" s="5">
        <f>IF(MONTH('Previdência_(série)'!$A128)=1,'Previdência_(série)'!$T128,'Previdência_(série)'!$T128-T127)</f>
        <v>14257923.05</v>
      </c>
      <c r="V128" s="5">
        <f>SUMIFS('Previdência_(série)'!$U$2:$U$166,'Previdência_(série)'!$A$2:$A$166,"&gt;"&amp;EDATE('Previdência_(série)'!$A128,-12),'Previdência_(série)'!$A$2:$A$166,"&lt;"&amp;EDATE(A128,1))</f>
        <v>353322312.16</v>
      </c>
      <c r="W128" s="5">
        <v>2881069922.63</v>
      </c>
      <c r="X128" s="5">
        <f>IF(MONTH('Previdência_(série)'!$A128)=1,'Previdência_(série)'!$W128,'Previdência_(série)'!$W128-W127)</f>
        <v>394246109.35</v>
      </c>
      <c r="Y128" s="5">
        <f>SUMIFS('Previdência_(série)'!$X$2:$X$166,'Previdência_(série)'!$A$2:$A$166,"&gt;"&amp;EDATE('Previdência_(série)'!$A128,-12),'Previdência_(série)'!$A$2:$A$166,"&lt;"&amp;EDATE(A128,1))</f>
        <v>4741467151.37</v>
      </c>
      <c r="Z128" s="199"/>
      <c r="AA128" s="1"/>
      <c r="AB128" s="1"/>
      <c r="AC128" s="1"/>
      <c r="AD128" s="4" t="s">
        <v>592</v>
      </c>
      <c r="AE128" s="17">
        <v>43282</v>
      </c>
      <c r="AF128" s="4">
        <v>2018</v>
      </c>
    </row>
    <row ht="13.8" outlineLevel="0" r="129">
      <c r="A129" s="17">
        <v>43313</v>
      </c>
      <c r="B129" s="5">
        <v>247821241894.16</v>
      </c>
      <c r="C129" s="5">
        <f>IF(MONTH('Previdência_(série)'!$A129)=1,'Previdência_(série)'!$B129,'Previdência_(série)'!$B129-B128)</f>
        <v>31275826672.85</v>
      </c>
      <c r="D129" s="5">
        <f>SUMIFS('Previdência_(série)'!$C$2:$C$166,'Previdência_(série)'!$A$2:$A$166,"&gt;"&amp;EDATE('Previdência_(série)'!$A129,-12),'Previdência_(série)'!$A$2:$A$166,"&lt;"&amp;EDATE(A129,1))</f>
        <v>386598459543.87</v>
      </c>
      <c r="E129" s="5">
        <v>386261263335.09</v>
      </c>
      <c r="F129" s="5">
        <f>IF(MONTH('Previdência_(série)'!$A129)=1,'Previdência_(série)'!$E129,'Previdência_(série)'!$E129-E128)</f>
        <v>65470722353.64</v>
      </c>
      <c r="G129" s="5">
        <f>SUMIFS('Previdência_(série)'!$F$2:$F$166,'Previdência_(série)'!$A$2:$A$166,"&gt;"&amp;EDATE('Previdência_(série)'!$A129,-12),'Previdência_(série)'!$A$2:$A$166,"&lt;"&amp;EDATE(A129,1))</f>
        <v>579483587149.01</v>
      </c>
      <c r="H129" s="5">
        <v>20653955553.94</v>
      </c>
      <c r="I129" s="5">
        <f>IF(MONTH('Previdência_(série)'!$A129)=1,'Previdência_(série)'!$H129,'Previdência_(série)'!$H129-H128)</f>
        <v>2502521775.49</v>
      </c>
      <c r="J129" s="5">
        <f>SUMIFS('Previdência_(série)'!$I$2:$I$166,'Previdência_(série)'!$A$2:$A$166,"&gt;"&amp;EDATE('Previdência_(série)'!$A129,-12),'Previdência_(série)'!$A$2:$A$166,"&lt;"&amp;EDATE(A129,1))</f>
        <v>33626002105.35</v>
      </c>
      <c r="K129" s="5">
        <v>51950661151.32</v>
      </c>
      <c r="L129" s="5">
        <f>IF(MONTH('Previdência_(série)'!$A129)=1,'Previdência_(série)'!$K129,'Previdência_(série)'!$K129-K128)</f>
        <v>6202256588.54</v>
      </c>
      <c r="M129" s="5">
        <f>SUMIFS('Previdência_(série)'!$L$2:$L$166,'Previdência_(série)'!$A$2:$A$166,"&gt;"&amp;EDATE('Previdência_(série)'!$A129,-12),'Previdência_(série)'!$A$2:$A$166,"&lt;"&amp;EDATE(A129,1))</f>
        <v>80961451990.24</v>
      </c>
      <c r="N129" s="5">
        <v>1523767010.99</v>
      </c>
      <c r="O129" s="5">
        <f>IF(MONTH('Previdência_(série)'!$A129)=1,'Previdência_(série)'!$N129,'Previdência_(série)'!$N129-N128)</f>
        <v>196859887.95</v>
      </c>
      <c r="P129" s="5">
        <f>SUMIFS('Previdência_(série)'!$O$2:$O$166,'Previdência_(série)'!$A$2:$A$166,"&gt;"&amp;EDATE('Previdência_(série)'!$A129,-12),'Previdência_(série)'!$A$2:$A$166,"&lt;"&amp;EDATE(A129,1))</f>
        <v>2705246405.9</v>
      </c>
      <c r="Q129" s="5">
        <v>30065662004.18</v>
      </c>
      <c r="R129" s="5">
        <f>IF(MONTH('Previdência_(série)'!$A129)=1,'Previdência_(série)'!$Q129,'Previdência_(série)'!$Q129-Q128)</f>
        <v>3569108934.46</v>
      </c>
      <c r="S129" s="5">
        <f>SUMIFS('Previdência_(série)'!$R$2:$R$166,'Previdência_(série)'!$A$2:$A$166,"&gt;"&amp;EDATE('Previdência_(série)'!$A129,-12),'Previdência_(série)'!$A$2:$A$166,"&lt;"&amp;EDATE(A129,1))</f>
        <v>44356728440.88</v>
      </c>
      <c r="T129" s="5">
        <v>197049316.43</v>
      </c>
      <c r="U129" s="5">
        <f>IF(MONTH('Previdência_(série)'!$A129)=1,'Previdência_(série)'!$T129,'Previdência_(série)'!$T129-T128)</f>
        <v>14359799.99</v>
      </c>
      <c r="V129" s="5">
        <f>SUMIFS('Previdência_(série)'!$U$2:$U$166,'Previdência_(série)'!$A$2:$A$166,"&gt;"&amp;EDATE('Previdência_(série)'!$A129,-12),'Previdência_(série)'!$A$2:$A$166,"&lt;"&amp;EDATE(A129,1))</f>
        <v>336826437.24</v>
      </c>
      <c r="W129" s="5">
        <v>3287930753.62</v>
      </c>
      <c r="X129" s="5">
        <f>IF(MONTH('Previdência_(série)'!$A129)=1,'Previdência_(série)'!$W129,'Previdência_(série)'!$W129-W128)</f>
        <v>406860830.99</v>
      </c>
      <c r="Y129" s="5">
        <f>SUMIFS('Previdência_(série)'!$X$2:$X$166,'Previdência_(série)'!$A$2:$A$166,"&gt;"&amp;EDATE('Previdência_(série)'!$A129,-12),'Previdência_(série)'!$A$2:$A$166,"&lt;"&amp;EDATE(A129,1))</f>
        <v>4713325391.56</v>
      </c>
      <c r="Z129" s="199"/>
      <c r="AA129" s="1"/>
      <c r="AB129" s="1"/>
      <c r="AC129" s="1"/>
      <c r="AD129" s="4" t="s">
        <v>593</v>
      </c>
      <c r="AE129" s="17">
        <v>43313</v>
      </c>
      <c r="AF129" s="4">
        <v>2018</v>
      </c>
    </row>
    <row ht="13.8" outlineLevel="0" r="130">
      <c r="A130" s="17">
        <v>43344</v>
      </c>
      <c r="B130" s="5">
        <v>279049372710.97</v>
      </c>
      <c r="C130" s="5">
        <f>IF(MONTH('Previdência_(série)'!$A130)=1,'Previdência_(série)'!$B130,'Previdência_(série)'!$B130-B129)</f>
        <v>31228130816.81</v>
      </c>
      <c r="D130" s="5">
        <f>SUMIFS('Previdência_(série)'!$C$2:$C$166,'Previdência_(série)'!$A$2:$A$166,"&gt;"&amp;EDATE('Previdência_(série)'!$A130,-12),'Previdência_(série)'!$A$2:$A$166,"&lt;"&amp;EDATE(A130,1))</f>
        <v>387358940644.65</v>
      </c>
      <c r="E130" s="5">
        <v>431606491337.01</v>
      </c>
      <c r="F130" s="5">
        <f>IF(MONTH('Previdência_(série)'!$A130)=1,'Previdência_(série)'!$E130,'Previdência_(série)'!$E130-E129)</f>
        <v>45345228001.92</v>
      </c>
      <c r="G130" s="5">
        <f>SUMIFS('Previdência_(série)'!$F$2:$F$166,'Previdência_(série)'!$A$2:$A$166,"&gt;"&amp;EDATE('Previdência_(série)'!$A130,-12),'Previdência_(série)'!$A$2:$A$166,"&lt;"&amp;EDATE(A130,1))</f>
        <v>581491900123.41</v>
      </c>
      <c r="H130" s="5">
        <v>23187957029.13</v>
      </c>
      <c r="I130" s="5">
        <f>IF(MONTH('Previdência_(série)'!$A130)=1,'Previdência_(série)'!$H130,'Previdência_(série)'!$H130-H129)</f>
        <v>2534001475.18999</v>
      </c>
      <c r="J130" s="5">
        <f>SUMIFS('Previdência_(série)'!$I$2:$I$166,'Previdência_(série)'!$A$2:$A$166,"&gt;"&amp;EDATE('Previdência_(série)'!$A130,-12),'Previdência_(série)'!$A$2:$A$166,"&lt;"&amp;EDATE(A130,1))</f>
        <v>33668724014.29</v>
      </c>
      <c r="K130" s="5">
        <v>58109778785.94</v>
      </c>
      <c r="L130" s="5">
        <f>IF(MONTH('Previdência_(série)'!$A130)=1,'Previdência_(série)'!$K130,'Previdência_(série)'!$K130-K129)</f>
        <v>6159117634.62</v>
      </c>
      <c r="M130" s="5">
        <f>SUMIFS('Previdência_(série)'!$L$2:$L$166,'Previdência_(série)'!$A$2:$A$166,"&gt;"&amp;EDATE('Previdência_(série)'!$A130,-12),'Previdência_(série)'!$A$2:$A$166,"&lt;"&amp;EDATE(A130,1))</f>
        <v>80714671917.13</v>
      </c>
      <c r="N130" s="5">
        <v>1720910216.89</v>
      </c>
      <c r="O130" s="5">
        <f>IF(MONTH('Previdência_(série)'!$A130)=1,'Previdência_(série)'!$N130,'Previdência_(série)'!$N130-N129)</f>
        <v>197143205.9</v>
      </c>
      <c r="P130" s="5">
        <f>SUMIFS('Previdência_(série)'!$O$2:$O$166,'Previdência_(série)'!$A$2:$A$166,"&gt;"&amp;EDATE('Previdência_(série)'!$A130,-12),'Previdência_(série)'!$A$2:$A$166,"&lt;"&amp;EDATE(A130,1))</f>
        <v>2621140675.73</v>
      </c>
      <c r="Q130" s="5">
        <v>33660516373.37</v>
      </c>
      <c r="R130" s="5">
        <f>IF(MONTH('Previdência_(série)'!$A130)=1,'Previdência_(série)'!$Q130,'Previdência_(série)'!$Q130-Q129)</f>
        <v>3594854369.19</v>
      </c>
      <c r="S130" s="5">
        <f>SUMIFS('Previdência_(série)'!$R$2:$R$166,'Previdência_(série)'!$A$2:$A$166,"&gt;"&amp;EDATE('Previdência_(série)'!$A130,-12),'Previdência_(série)'!$A$2:$A$166,"&lt;"&amp;EDATE(A130,1))</f>
        <v>44777488731.78</v>
      </c>
      <c r="T130" s="5">
        <v>211421558.94</v>
      </c>
      <c r="U130" s="5">
        <f>IF(MONTH('Previdência_(série)'!$A130)=1,'Previdência_(série)'!$T130,'Previdência_(série)'!$T130-T129)</f>
        <v>14372242.51</v>
      </c>
      <c r="V130" s="5">
        <f>SUMIFS('Previdência_(série)'!$U$2:$U$166,'Previdência_(série)'!$A$2:$A$166,"&gt;"&amp;EDATE('Previdência_(série)'!$A130,-12),'Previdência_(série)'!$A$2:$A$166,"&lt;"&amp;EDATE(A130,1))</f>
        <v>320266313.24</v>
      </c>
      <c r="W130" s="5">
        <v>3701922250.62</v>
      </c>
      <c r="X130" s="5">
        <f>IF(MONTH('Previdência_(série)'!$A130)=1,'Previdência_(série)'!$W130,'Previdência_(série)'!$W130-W129)</f>
        <v>413991497</v>
      </c>
      <c r="Y130" s="5">
        <f>SUMIFS('Previdência_(série)'!$X$2:$X$166,'Previdência_(série)'!$A$2:$A$166,"&gt;"&amp;EDATE('Previdência_(série)'!$A130,-12),'Previdência_(série)'!$A$2:$A$166,"&lt;"&amp;EDATE(A130,1))</f>
        <v>4588152570.31</v>
      </c>
      <c r="Z130" s="199"/>
      <c r="AA130" s="1"/>
      <c r="AB130" s="1"/>
      <c r="AC130" s="1"/>
      <c r="AD130" s="4" t="s">
        <v>594</v>
      </c>
      <c r="AE130" s="17">
        <v>43344</v>
      </c>
      <c r="AF130" s="4">
        <v>2018</v>
      </c>
    </row>
    <row ht="13.8" outlineLevel="0" r="131">
      <c r="A131" s="17">
        <v>43374</v>
      </c>
      <c r="B131" s="5">
        <v>311124509010.04</v>
      </c>
      <c r="C131" s="5">
        <f>IF(MONTH('Previdência_(série)'!$A131)=1,'Previdência_(série)'!$B131,'Previdência_(série)'!$B131-B130)</f>
        <v>32075136299.0699</v>
      </c>
      <c r="D131" s="5">
        <f>SUMIFS('Previdência_(série)'!$C$2:$C$166,'Previdência_(série)'!$A$2:$A$166,"&gt;"&amp;EDATE('Previdência_(série)'!$A131,-12),'Previdência_(série)'!$A$2:$A$166,"&lt;"&amp;EDATE(A131,1))</f>
        <v>388985093546.61</v>
      </c>
      <c r="E131" s="5">
        <v>481956111162.57</v>
      </c>
      <c r="F131" s="5">
        <f>IF(MONTH('Previdência_(série)'!$A131)=1,'Previdência_(série)'!$E131,'Previdência_(série)'!$E131-E130)</f>
        <v>50349619825.56</v>
      </c>
      <c r="G131" s="5">
        <f>SUMIFS('Previdência_(série)'!$F$2:$F$166,'Previdência_(série)'!$A$2:$A$166,"&gt;"&amp;EDATE('Previdência_(série)'!$A131,-12),'Previdência_(série)'!$A$2:$A$166,"&lt;"&amp;EDATE(A131,1))</f>
        <v>587964062590.88</v>
      </c>
      <c r="H131" s="5">
        <v>25737745077.21</v>
      </c>
      <c r="I131" s="5">
        <f>IF(MONTH('Previdência_(série)'!$A131)=1,'Previdência_(série)'!$H131,'Previdência_(série)'!$H131-H130)</f>
        <v>2549788048.08</v>
      </c>
      <c r="J131" s="5">
        <f>SUMIFS('Previdência_(série)'!$I$2:$I$166,'Previdência_(série)'!$A$2:$A$166,"&gt;"&amp;EDATE('Previdência_(série)'!$A131,-12),'Previdência_(série)'!$A$2:$A$166,"&lt;"&amp;EDATE(A131,1))</f>
        <v>33561069596.62</v>
      </c>
      <c r="K131" s="5">
        <v>64269233391.22</v>
      </c>
      <c r="L131" s="5">
        <f>IF(MONTH('Previdência_(série)'!$A131)=1,'Previdência_(série)'!$K131,'Previdência_(série)'!$K131-K130)</f>
        <v>6159454605.27999</v>
      </c>
      <c r="M131" s="5">
        <f>SUMIFS('Previdência_(série)'!$L$2:$L$166,'Previdência_(série)'!$A$2:$A$166,"&gt;"&amp;EDATE('Previdência_(série)'!$A131,-12),'Previdência_(série)'!$A$2:$A$166,"&lt;"&amp;EDATE(A131,1))</f>
        <v>80649313073.2</v>
      </c>
      <c r="N131" s="5">
        <v>1918067919.87</v>
      </c>
      <c r="O131" s="5">
        <f>IF(MONTH('Previdência_(série)'!$A131)=1,'Previdência_(série)'!$N131,'Previdência_(série)'!$N131-N130)</f>
        <v>197157702.98</v>
      </c>
      <c r="P131" s="5">
        <f>SUMIFS('Previdência_(série)'!$O$2:$O$166,'Previdência_(série)'!$A$2:$A$166,"&gt;"&amp;EDATE('Previdência_(série)'!$A131,-12),'Previdência_(série)'!$A$2:$A$166,"&lt;"&amp;EDATE(A131,1))</f>
        <v>2538015838.5</v>
      </c>
      <c r="Q131" s="5">
        <v>37256515484.18</v>
      </c>
      <c r="R131" s="5">
        <f>IF(MONTH('Previdência_(série)'!$A131)=1,'Previdência_(série)'!$Q131,'Previdência_(série)'!$Q131-Q130)</f>
        <v>3595999110.81</v>
      </c>
      <c r="S131" s="5">
        <f>SUMIFS('Previdência_(série)'!$R$2:$R$166,'Previdência_(série)'!$A$2:$A$166,"&gt;"&amp;EDATE('Previdência_(série)'!$A131,-12),'Previdência_(série)'!$A$2:$A$166,"&lt;"&amp;EDATE(A131,1))</f>
        <v>45193376755.23</v>
      </c>
      <c r="T131" s="5">
        <v>225798631.63</v>
      </c>
      <c r="U131" s="5">
        <f>IF(MONTH('Previdência_(série)'!$A131)=1,'Previdência_(série)'!$T131,'Previdência_(série)'!$T131-T130)</f>
        <v>14377072.69</v>
      </c>
      <c r="V131" s="5">
        <f>SUMIFS('Previdência_(série)'!$U$2:$U$166,'Previdência_(série)'!$A$2:$A$166,"&gt;"&amp;EDATE('Previdência_(série)'!$A131,-12),'Previdência_(série)'!$A$2:$A$166,"&lt;"&amp;EDATE(A131,1))</f>
        <v>303645436.82</v>
      </c>
      <c r="W131" s="5">
        <v>4125588253.42</v>
      </c>
      <c r="X131" s="5">
        <f>IF(MONTH('Previdência_(série)'!$A131)=1,'Previdência_(série)'!$W131,'Previdência_(série)'!$W131-W130)</f>
        <v>423666002.8</v>
      </c>
      <c r="Y131" s="5">
        <f>SUMIFS('Previdência_(série)'!$X$2:$X$166,'Previdência_(série)'!$A$2:$A$166,"&gt;"&amp;EDATE('Previdência_(série)'!$A131,-12),'Previdência_(série)'!$A$2:$A$166,"&lt;"&amp;EDATE(A131,1))</f>
        <v>4695410484.8</v>
      </c>
      <c r="Z131" s="199"/>
      <c r="AA131" s="1"/>
      <c r="AB131" s="1"/>
      <c r="AC131" s="1"/>
      <c r="AD131" s="4" t="s">
        <v>595</v>
      </c>
      <c r="AE131" s="17">
        <v>43374</v>
      </c>
      <c r="AF131" s="4">
        <v>2018</v>
      </c>
    </row>
    <row ht="13.8" outlineLevel="0" r="132">
      <c r="A132" s="17">
        <v>43405</v>
      </c>
      <c r="B132" s="5">
        <v>343110560144.87</v>
      </c>
      <c r="C132" s="5">
        <f>IF(MONTH('Previdência_(série)'!$A132)=1,'Previdência_(série)'!$B132,'Previdência_(série)'!$B132-B131)</f>
        <v>31986051134.83</v>
      </c>
      <c r="D132" s="5">
        <f>SUMIFS('Previdência_(série)'!$C$2:$C$166,'Previdência_(série)'!$A$2:$A$166,"&gt;"&amp;EDATE('Previdência_(série)'!$A132,-12),'Previdência_(série)'!$A$2:$A$166,"&lt;"&amp;EDATE(A132,1))</f>
        <v>390127164187.96</v>
      </c>
      <c r="E132" s="5">
        <v>543972231455.97</v>
      </c>
      <c r="F132" s="5">
        <f>IF(MONTH('Previdência_(série)'!$A132)=1,'Previdência_(série)'!$E132,'Previdência_(série)'!$E132-E131)</f>
        <v>62016120293.4</v>
      </c>
      <c r="G132" s="5">
        <f>SUMIFS('Previdência_(série)'!$F$2:$F$166,'Previdência_(série)'!$A$2:$A$166,"&gt;"&amp;EDATE('Previdência_(série)'!$A132,-12),'Previdência_(série)'!$A$2:$A$166,"&lt;"&amp;EDATE(A132,1))</f>
        <v>586143583080.61</v>
      </c>
      <c r="H132" s="5">
        <v>30315078389.29</v>
      </c>
      <c r="I132" s="5">
        <f>IF(MONTH('Previdência_(série)'!$A132)=1,'Previdência_(série)'!$H132,'Previdência_(série)'!$H132-H131)</f>
        <v>4577333312.08</v>
      </c>
      <c r="J132" s="5">
        <f>SUMIFS('Previdência_(série)'!$I$2:$I$166,'Previdência_(série)'!$A$2:$A$166,"&gt;"&amp;EDATE('Previdência_(série)'!$A132,-12),'Previdência_(série)'!$A$2:$A$166,"&lt;"&amp;EDATE(A132,1))</f>
        <v>33332958252.63</v>
      </c>
      <c r="K132" s="5">
        <v>73332201295.21</v>
      </c>
      <c r="L132" s="5">
        <f>IF(MONTH('Previdência_(série)'!$A132)=1,'Previdência_(série)'!$K132,'Previdência_(série)'!$K132-K131)</f>
        <v>9062967903.99</v>
      </c>
      <c r="M132" s="5">
        <f>SUMIFS('Previdência_(série)'!$L$2:$L$166,'Previdência_(série)'!$A$2:$A$166,"&gt;"&amp;EDATE('Previdência_(série)'!$A132,-12),'Previdência_(série)'!$A$2:$A$166,"&lt;"&amp;EDATE(A132,1))</f>
        <v>80472607873.07</v>
      </c>
      <c r="N132" s="5">
        <v>2114834665.18</v>
      </c>
      <c r="O132" s="5">
        <f>IF(MONTH('Previdência_(série)'!$A132)=1,'Previdência_(série)'!$N132,'Previdência_(série)'!$N132-N131)</f>
        <v>196766745.31</v>
      </c>
      <c r="P132" s="5">
        <f>SUMIFS('Previdência_(série)'!$O$2:$O$166,'Previdência_(série)'!$A$2:$A$166,"&gt;"&amp;EDATE('Previdência_(série)'!$A132,-12),'Previdência_(série)'!$A$2:$A$166,"&lt;"&amp;EDATE(A132,1))</f>
        <v>2459292217.23</v>
      </c>
      <c r="Q132" s="5">
        <v>42614596789.74</v>
      </c>
      <c r="R132" s="5">
        <f>IF(MONTH('Previdência_(série)'!$A132)=1,'Previdência_(série)'!$Q132,'Previdência_(série)'!$Q132-Q131)</f>
        <v>5358081305.56</v>
      </c>
      <c r="S132" s="5">
        <f>SUMIFS('Previdência_(série)'!$R$2:$R$166,'Previdência_(série)'!$A$2:$A$166,"&gt;"&amp;EDATE('Previdência_(série)'!$A132,-12),'Previdência_(série)'!$A$2:$A$166,"&lt;"&amp;EDATE(A132,1))</f>
        <v>45807427874.27</v>
      </c>
      <c r="T132" s="5">
        <v>240164471.84</v>
      </c>
      <c r="U132" s="5">
        <f>IF(MONTH('Previdência_(série)'!$A132)=1,'Previdência_(série)'!$T132,'Previdência_(série)'!$T132-T131)</f>
        <v>14365840.21</v>
      </c>
      <c r="V132" s="5">
        <f>SUMIFS('Previdência_(série)'!$U$2:$U$166,'Previdência_(série)'!$A$2:$A$166,"&gt;"&amp;EDATE('Previdência_(série)'!$A132,-12),'Previdência_(série)'!$A$2:$A$166,"&lt;"&amp;EDATE(A132,1))</f>
        <v>287031300.9</v>
      </c>
      <c r="W132" s="5">
        <v>4812549248.49</v>
      </c>
      <c r="X132" s="5">
        <f>IF(MONTH('Previdência_(série)'!$A132)=1,'Previdência_(série)'!$W132,'Previdência_(série)'!$W132-W131)</f>
        <v>686960995.07</v>
      </c>
      <c r="Y132" s="5">
        <f>SUMIFS('Previdência_(série)'!$X$2:$X$166,'Previdência_(série)'!$A$2:$A$166,"&gt;"&amp;EDATE('Previdência_(série)'!$A132,-12),'Previdência_(série)'!$A$2:$A$166,"&lt;"&amp;EDATE(A132,1))</f>
        <v>4917208478.91</v>
      </c>
      <c r="Z132" s="199"/>
      <c r="AA132" s="1"/>
      <c r="AB132" s="1"/>
      <c r="AC132" s="1"/>
      <c r="AD132" s="4" t="s">
        <v>596</v>
      </c>
      <c r="AE132" s="17">
        <v>43405</v>
      </c>
      <c r="AF132" s="4">
        <v>2018</v>
      </c>
    </row>
    <row ht="13.8" outlineLevel="0" r="133">
      <c r="A133" s="17">
        <v>43435</v>
      </c>
      <c r="B133" s="5">
        <v>395195089820.98</v>
      </c>
      <c r="C133" s="5">
        <f>IF(MONTH('Previdência_(série)'!$A133)=1,'Previdência_(série)'!$B133,'Previdência_(série)'!$B133-B132)</f>
        <v>52084529676.11</v>
      </c>
      <c r="D133" s="5">
        <f>SUMIFS('Previdência_(série)'!$C$2:$C$166,'Previdência_(série)'!$A$2:$A$166,"&gt;"&amp;EDATE('Previdência_(série)'!$A133,-12),'Previdência_(série)'!$A$2:$A$166,"&lt;"&amp;EDATE(A133,1))</f>
        <v>395195089820.98</v>
      </c>
      <c r="E133" s="5">
        <v>589512727031.15</v>
      </c>
      <c r="F133" s="5">
        <f>IF(MONTH('Previdência_(série)'!$A133)=1,'Previdência_(série)'!$E133,'Previdência_(série)'!$E133-E132)</f>
        <v>45540495575.18</v>
      </c>
      <c r="G133" s="5">
        <f>SUMIFS('Previdência_(série)'!$F$2:$F$166,'Previdência_(série)'!$A$2:$A$166,"&gt;"&amp;EDATE('Previdência_(série)'!$A133,-12),'Previdência_(série)'!$A$2:$A$166,"&lt;"&amp;EDATE(A133,1))</f>
        <v>589512727031.15</v>
      </c>
      <c r="H133" s="5">
        <v>33410891682.97</v>
      </c>
      <c r="I133" s="5">
        <f>IF(MONTH('Previdência_(série)'!$A133)=1,'Previdência_(série)'!$H133,'Previdência_(série)'!$H133-H132)</f>
        <v>3095813293.68</v>
      </c>
      <c r="J133" s="5">
        <f>SUMIFS('Previdência_(série)'!$I$2:$I$166,'Previdência_(série)'!$A$2:$A$166,"&gt;"&amp;EDATE('Previdência_(série)'!$A133,-12),'Previdência_(série)'!$A$2:$A$166,"&lt;"&amp;EDATE(A133,1))</f>
        <v>33410891682.97</v>
      </c>
      <c r="K133" s="5">
        <v>79878747249.69</v>
      </c>
      <c r="L133" s="5">
        <f>IF(MONTH('Previdência_(série)'!$A133)=1,'Previdência_(série)'!$K133,'Previdência_(série)'!$K133-K132)</f>
        <v>6546545954.48001</v>
      </c>
      <c r="M133" s="5">
        <f>SUMIFS('Previdência_(série)'!$L$2:$L$166,'Previdência_(série)'!$A$2:$A$166,"&gt;"&amp;EDATE('Previdência_(série)'!$A133,-12),'Previdência_(série)'!$A$2:$A$166,"&lt;"&amp;EDATE(A133,1))</f>
        <v>79878747249.69</v>
      </c>
      <c r="N133" s="5">
        <v>2360049747.1</v>
      </c>
      <c r="O133" s="5">
        <f>IF(MONTH('Previdência_(série)'!$A133)=1,'Previdência_(série)'!$N133,'Previdência_(série)'!$N133-N132)</f>
        <v>245215081.92</v>
      </c>
      <c r="P133" s="5">
        <f>SUMIFS('Previdência_(série)'!$O$2:$O$166,'Previdência_(série)'!$A$2:$A$166,"&gt;"&amp;EDATE('Previdência_(série)'!$A133,-12),'Previdência_(série)'!$A$2:$A$166,"&lt;"&amp;EDATE(A133,1))</f>
        <v>2360049747.1</v>
      </c>
      <c r="Q133" s="5">
        <v>46213283702.29</v>
      </c>
      <c r="R133" s="5">
        <f>IF(MONTH('Previdência_(série)'!$A133)=1,'Previdência_(série)'!$Q133,'Previdência_(série)'!$Q133-Q132)</f>
        <v>3598686912.55</v>
      </c>
      <c r="S133" s="5">
        <f>SUMIFS('Previdência_(série)'!$R$2:$R$166,'Previdência_(série)'!$A$2:$A$166,"&gt;"&amp;EDATE('Previdência_(série)'!$A133,-12),'Previdência_(série)'!$A$2:$A$166,"&lt;"&amp;EDATE(A133,1))</f>
        <v>46213283702.29</v>
      </c>
      <c r="T133" s="5">
        <v>268956521.06</v>
      </c>
      <c r="U133" s="5">
        <f>IF(MONTH('Previdência_(série)'!$A133)=1,'Previdência_(série)'!$T133,'Previdência_(série)'!$T133-T132)</f>
        <v>28792049.22</v>
      </c>
      <c r="V133" s="5">
        <f>SUMIFS('Previdência_(série)'!$U$2:$U$166,'Previdência_(série)'!$A$2:$A$166,"&gt;"&amp;EDATE('Previdência_(série)'!$A133,-12),'Previdência_(série)'!$A$2:$A$166,"&lt;"&amp;EDATE(A133,1))</f>
        <v>268956521.06</v>
      </c>
      <c r="W133" s="5">
        <v>5042857905.18</v>
      </c>
      <c r="X133" s="5">
        <f>IF(MONTH('Previdência_(série)'!$A133)=1,'Previdência_(série)'!$W133,'Previdência_(série)'!$W133-W132)</f>
        <v>230308656.690001</v>
      </c>
      <c r="Y133" s="5">
        <f>SUMIFS('Previdência_(série)'!$X$2:$X$166,'Previdência_(série)'!$A$2:$A$166,"&gt;"&amp;EDATE('Previdência_(série)'!$A133,-12),'Previdência_(série)'!$A$2:$A$166,"&lt;"&amp;EDATE(A133,1))</f>
        <v>5042857905.18</v>
      </c>
      <c r="Z133" s="199"/>
      <c r="AA133" s="1"/>
      <c r="AB133" s="1"/>
      <c r="AC133" s="1"/>
      <c r="AD133" s="4" t="s">
        <v>597</v>
      </c>
      <c r="AE133" s="17">
        <v>43435</v>
      </c>
      <c r="AF133" s="4">
        <v>2018</v>
      </c>
    </row>
    <row ht="13.8" outlineLevel="0" r="134">
      <c r="A134" s="17">
        <v>43466</v>
      </c>
      <c r="B134" s="5">
        <v>33913803961.73</v>
      </c>
      <c r="C134" s="5">
        <f>IF(MONTH('Previdência_(série)'!$A134)=1,'Previdência_(série)'!$B134,'Previdência_(série)'!$B134-B133)</f>
        <v>33913803961.73</v>
      </c>
      <c r="D134" s="5">
        <f>SUMIFS('Previdência_(série)'!$C$2:$C$166,'Previdência_(série)'!$A$2:$A$166,"&gt;"&amp;EDATE('Previdência_(série)'!$A134,-12),'Previdência_(série)'!$A$2:$A$166,"&lt;"&amp;EDATE(A134,1))</f>
        <v>397456889651.94</v>
      </c>
      <c r="E134" s="5">
        <v>48414067089.66</v>
      </c>
      <c r="F134" s="5">
        <f>IF(MONTH('Previdência_(série)'!$A134)=1,'Previdência_(série)'!$E134,'Previdência_(série)'!$E134-E133)</f>
        <v>48414067089.66</v>
      </c>
      <c r="G134" s="5">
        <f>SUMIFS('Previdência_(série)'!$F$2:$F$166,'Previdência_(série)'!$A$2:$A$166,"&gt;"&amp;EDATE('Previdência_(série)'!$A134,-12),'Previdência_(série)'!$A$2:$A$166,"&lt;"&amp;EDATE(A134,1))</f>
        <v>592419572169.79</v>
      </c>
      <c r="H134" s="5">
        <v>2576050879.92</v>
      </c>
      <c r="I134" s="5">
        <f>IF(MONTH('Previdência_(série)'!$A134)=1,'Previdência_(série)'!$H134,'Previdência_(série)'!$H134-H133)</f>
        <v>2576050879.92</v>
      </c>
      <c r="J134" s="5">
        <f>SUMIFS('Previdência_(série)'!$I$2:$I$166,'Previdência_(série)'!$A$2:$A$166,"&gt;"&amp;EDATE('Previdência_(série)'!$A134,-12),'Previdência_(série)'!$A$2:$A$166,"&lt;"&amp;EDATE(A134,1))</f>
        <v>33559016936.43</v>
      </c>
      <c r="K134" s="5">
        <v>6716562085.75</v>
      </c>
      <c r="L134" s="5">
        <f>IF(MONTH('Previdência_(série)'!$A134)=1,'Previdência_(série)'!$K134,'Previdência_(série)'!$K134-K133)</f>
        <v>6716562085.75</v>
      </c>
      <c r="M134" s="5">
        <f>SUMIFS('Previdência_(série)'!$L$2:$L$166,'Previdência_(série)'!$A$2:$A$166,"&gt;"&amp;EDATE('Previdência_(série)'!$A134,-12),'Previdência_(série)'!$A$2:$A$166,"&lt;"&amp;EDATE(A134,1))</f>
        <v>80303932050.12</v>
      </c>
      <c r="N134" s="5">
        <v>159276257.72</v>
      </c>
      <c r="O134" s="5">
        <f>IF(MONTH('Previdência_(série)'!$A134)=1,'Previdência_(série)'!$N134,'Previdência_(série)'!$N134-N133)</f>
        <v>159276257.72</v>
      </c>
      <c r="P134" s="5">
        <f>SUMIFS('Previdência_(série)'!$O$2:$O$166,'Previdência_(série)'!$A$2:$A$166,"&gt;"&amp;EDATE('Previdência_(série)'!$A134,-12),'Previdência_(série)'!$A$2:$A$166,"&lt;"&amp;EDATE(A134,1))</f>
        <v>2370764509.87</v>
      </c>
      <c r="Q134" s="5">
        <v>3789209219.78</v>
      </c>
      <c r="R134" s="5">
        <f>IF(MONTH('Previdência_(série)'!$A134)=1,'Previdência_(série)'!$Q134,'Previdência_(série)'!$Q134-Q133)</f>
        <v>3789209219.78</v>
      </c>
      <c r="S134" s="5">
        <f>SUMIFS('Previdência_(série)'!$R$2:$R$166,'Previdência_(série)'!$A$2:$A$166,"&gt;"&amp;EDATE('Previdência_(série)'!$A134,-12),'Previdência_(série)'!$A$2:$A$166,"&lt;"&amp;EDATE(A134,1))</f>
        <v>46487446470.75</v>
      </c>
      <c r="T134" s="5">
        <v>3786.39</v>
      </c>
      <c r="U134" s="5">
        <f>IF(MONTH('Previdência_(série)'!$A134)=1,'Previdência_(série)'!$T134,'Previdência_(série)'!$T134-T133)</f>
        <v>3786.39</v>
      </c>
      <c r="V134" s="5">
        <f>SUMIFS('Previdência_(série)'!$U$2:$U$166,'Previdência_(série)'!$A$2:$A$166,"&gt;"&amp;EDATE('Previdência_(série)'!$A134,-12),'Previdência_(série)'!$A$2:$A$166,"&lt;"&amp;EDATE(A134,1))</f>
        <v>237647117.57</v>
      </c>
      <c r="W134" s="5">
        <v>220804705.44</v>
      </c>
      <c r="X134" s="5">
        <f>IF(MONTH('Previdência_(série)'!$A134)=1,'Previdência_(série)'!$W134,'Previdência_(série)'!$W134-W133)</f>
        <v>220804705.44</v>
      </c>
      <c r="Y134" s="5">
        <f>SUMIFS('Previdência_(série)'!$X$2:$X$166,'Previdência_(série)'!$A$2:$A$166,"&gt;"&amp;EDATE('Previdência_(série)'!$A134,-12),'Previdência_(série)'!$A$2:$A$166,"&lt;"&amp;EDATE(A134,1))</f>
        <v>4887590609.91</v>
      </c>
      <c r="Z134" s="199"/>
      <c r="AA134" s="1"/>
      <c r="AB134" s="1"/>
      <c r="AC134" s="1"/>
      <c r="AD134" s="4" t="s">
        <v>586</v>
      </c>
      <c r="AE134" s="17">
        <v>43466</v>
      </c>
      <c r="AF134" s="4">
        <v>2019</v>
      </c>
    </row>
    <row ht="13.8" outlineLevel="0" r="135">
      <c r="A135" s="17">
        <v>43497</v>
      </c>
      <c r="B135" s="5">
        <v>65997970775.18</v>
      </c>
      <c r="C135" s="5">
        <f>IF(MONTH('Previdência_(série)'!$A135)=1,'Previdência_(série)'!$B135,'Previdência_(série)'!$B135-B134)</f>
        <v>32084166813.45</v>
      </c>
      <c r="D135" s="5">
        <f>SUMIFS('Previdência_(série)'!$C$2:$C$166,'Previdência_(série)'!$A$2:$A$166,"&gt;"&amp;EDATE('Previdência_(série)'!$A135,-12),'Previdência_(série)'!$A$2:$A$166,"&lt;"&amp;EDATE(A135,1))</f>
        <v>399440280103.28</v>
      </c>
      <c r="E135" s="5">
        <v>95812499599.09</v>
      </c>
      <c r="F135" s="5">
        <f>IF(MONTH('Previdência_(série)'!$A135)=1,'Previdência_(série)'!$E135,'Previdência_(série)'!$E135-E134)</f>
        <v>47398432509.43</v>
      </c>
      <c r="G135" s="5">
        <f>SUMIFS('Previdência_(série)'!$F$2:$F$166,'Previdência_(série)'!$A$2:$A$166,"&gt;"&amp;EDATE('Previdência_(série)'!$A135,-12),'Previdência_(série)'!$A$2:$A$166,"&lt;"&amp;EDATE(A135,1))</f>
        <v>595664973029.58</v>
      </c>
      <c r="H135" s="5">
        <v>5186986395.31</v>
      </c>
      <c r="I135" s="5">
        <f>IF(MONTH('Previdência_(série)'!$A135)=1,'Previdência_(série)'!$H135,'Previdência_(série)'!$H135-H134)</f>
        <v>2610935515.39</v>
      </c>
      <c r="J135" s="5">
        <f>SUMIFS('Previdência_(série)'!$I$2:$I$166,'Previdência_(série)'!$A$2:$A$166,"&gt;"&amp;EDATE('Previdência_(série)'!$A135,-12),'Previdência_(série)'!$A$2:$A$166,"&lt;"&amp;EDATE(A135,1))</f>
        <v>33554189364.7</v>
      </c>
      <c r="K135" s="5">
        <v>13066974581.26</v>
      </c>
      <c r="L135" s="5">
        <f>IF(MONTH('Previdência_(série)'!$A135)=1,'Previdência_(série)'!$K135,'Previdência_(série)'!$K135-K134)</f>
        <v>6350412495.51</v>
      </c>
      <c r="M135" s="5">
        <f>SUMIFS('Previdência_(série)'!$L$2:$L$166,'Previdência_(série)'!$A$2:$A$166,"&gt;"&amp;EDATE('Previdência_(série)'!$A135,-12),'Previdência_(série)'!$A$2:$A$166,"&lt;"&amp;EDATE(A135,1))</f>
        <v>80610428319.79</v>
      </c>
      <c r="N135" s="5">
        <v>369152175.34</v>
      </c>
      <c r="O135" s="5">
        <f>IF(MONTH('Previdência_(série)'!$A135)=1,'Previdência_(série)'!$N135,'Previdência_(série)'!$N135-N134)</f>
        <v>209875917.62</v>
      </c>
      <c r="P135" s="5">
        <f>SUMIFS('Previdência_(série)'!$O$2:$O$166,'Previdência_(série)'!$A$2:$A$166,"&gt;"&amp;EDATE('Previdência_(série)'!$A135,-12),'Previdência_(série)'!$A$2:$A$166,"&lt;"&amp;EDATE(A135,1))</f>
        <v>2385195059.42</v>
      </c>
      <c r="Q135" s="5">
        <v>7593183340.34</v>
      </c>
      <c r="R135" s="5">
        <f>IF(MONTH('Previdência_(série)'!$A135)=1,'Previdência_(série)'!$Q135,'Previdência_(série)'!$Q135-Q134)</f>
        <v>3803974120.56</v>
      </c>
      <c r="S135" s="5">
        <f>SUMIFS('Previdência_(série)'!$R$2:$R$166,'Previdência_(série)'!$A$2:$A$166,"&gt;"&amp;EDATE('Previdência_(série)'!$A135,-12),'Previdência_(série)'!$A$2:$A$166,"&lt;"&amp;EDATE(A135,1))</f>
        <v>46770263565.45</v>
      </c>
      <c r="T135" s="5">
        <v>14468397.36</v>
      </c>
      <c r="U135" s="5">
        <f>IF(MONTH('Previdência_(série)'!$A135)=1,'Previdência_(série)'!$T135,'Previdência_(série)'!$T135-T134)</f>
        <v>14464610.97</v>
      </c>
      <c r="V135" s="5">
        <f>SUMIFS('Previdência_(série)'!$U$2:$U$166,'Previdência_(série)'!$A$2:$A$166,"&gt;"&amp;EDATE('Previdência_(série)'!$A135,-12),'Previdência_(série)'!$A$2:$A$166,"&lt;"&amp;EDATE(A135,1))</f>
        <v>220942125.28</v>
      </c>
      <c r="W135" s="5">
        <v>448208590.48</v>
      </c>
      <c r="X135" s="5">
        <f>IF(MONTH('Previdência_(série)'!$A135)=1,'Previdência_(série)'!$W135,'Previdência_(série)'!$W135-W134)</f>
        <v>227403885.04</v>
      </c>
      <c r="Y135" s="5">
        <f>SUMIFS('Previdência_(série)'!$X$2:$X$166,'Previdência_(série)'!$A$2:$A$166,"&gt;"&amp;EDATE('Previdência_(série)'!$A135,-12),'Previdência_(série)'!$A$2:$A$166,"&lt;"&amp;EDATE(A135,1))</f>
        <v>4637567424.3</v>
      </c>
      <c r="Z135" s="199"/>
      <c r="AA135" s="1"/>
      <c r="AB135" s="1"/>
      <c r="AC135" s="1"/>
      <c r="AD135" s="4" t="s">
        <v>587</v>
      </c>
      <c r="AE135" s="17">
        <v>43497</v>
      </c>
      <c r="AF135" s="4">
        <v>2019</v>
      </c>
    </row>
    <row ht="13.8" outlineLevel="0" r="136">
      <c r="A136" s="17">
        <v>43525</v>
      </c>
      <c r="B136" s="5">
        <v>97917974990.16</v>
      </c>
      <c r="C136" s="5">
        <f>IF(MONTH('Previdência_(série)'!$A136)=1,'Previdência_(série)'!$B136,'Previdência_(série)'!$B136-B135)</f>
        <v>31920004214.98</v>
      </c>
      <c r="D136" s="5">
        <f>SUMIFS('Previdência_(série)'!$C$2:$C$166,'Previdência_(série)'!$A$2:$A$166,"&gt;"&amp;EDATE('Previdência_(série)'!$A136,-12),'Previdência_(série)'!$A$2:$A$166,"&lt;"&amp;EDATE(A136,1))</f>
        <v>401439486428.7</v>
      </c>
      <c r="E136" s="5">
        <v>149027023215.57</v>
      </c>
      <c r="F136" s="5">
        <f>IF(MONTH('Previdência_(série)'!$A136)=1,'Previdência_(série)'!$E136,'Previdência_(série)'!$E136-E135)</f>
        <v>53214523616.48</v>
      </c>
      <c r="G136" s="5">
        <f>SUMIFS('Previdência_(série)'!$F$2:$F$166,'Previdência_(série)'!$A$2:$A$166,"&gt;"&amp;EDATE('Previdência_(série)'!$A136,-12),'Previdência_(série)'!$A$2:$A$166,"&lt;"&amp;EDATE(A136,1))</f>
        <v>599152980409.4</v>
      </c>
      <c r="H136" s="5">
        <v>7760183095.23</v>
      </c>
      <c r="I136" s="5">
        <f>IF(MONTH('Previdência_(série)'!$A136)=1,'Previdência_(série)'!$H136,'Previdência_(série)'!$H136-H135)</f>
        <v>2573196699.92</v>
      </c>
      <c r="J136" s="5">
        <f>SUMIFS('Previdência_(série)'!$I$2:$I$166,'Previdência_(série)'!$A$2:$A$166,"&gt;"&amp;EDATE('Previdência_(série)'!$A136,-12),'Previdência_(série)'!$A$2:$A$166,"&lt;"&amp;EDATE(A136,1))</f>
        <v>33592562439.04</v>
      </c>
      <c r="K136" s="5">
        <v>19904882359.22</v>
      </c>
      <c r="L136" s="5">
        <f>IF(MONTH('Previdência_(série)'!$A136)=1,'Previdência_(série)'!$K136,'Previdência_(série)'!$K136-K135)</f>
        <v>6837907777.96</v>
      </c>
      <c r="M136" s="5">
        <f>SUMIFS('Previdência_(série)'!$L$2:$L$166,'Previdência_(série)'!$A$2:$A$166,"&gt;"&amp;EDATE('Previdência_(série)'!$A136,-12),'Previdência_(série)'!$A$2:$A$166,"&lt;"&amp;EDATE(A136,1))</f>
        <v>81071325421.96</v>
      </c>
      <c r="N136" s="5">
        <v>578886101.71</v>
      </c>
      <c r="O136" s="5">
        <f>IF(MONTH('Previdência_(série)'!$A136)=1,'Previdência_(série)'!$N136,'Previdência_(série)'!$N136-N135)</f>
        <v>209733926.37</v>
      </c>
      <c r="P136" s="5">
        <f>SUMIFS('Previdência_(série)'!$O$2:$O$166,'Previdência_(série)'!$A$2:$A$166,"&gt;"&amp;EDATE('Previdência_(série)'!$A136,-12),'Previdência_(série)'!$A$2:$A$166,"&lt;"&amp;EDATE(A136,1))</f>
        <v>2399263415.45</v>
      </c>
      <c r="Q136" s="5">
        <v>11398812924.26</v>
      </c>
      <c r="R136" s="5">
        <f>IF(MONTH('Previdência_(série)'!$A136)=1,'Previdência_(série)'!$Q136,'Previdência_(série)'!$Q136-Q135)</f>
        <v>3805629583.92</v>
      </c>
      <c r="S136" s="5">
        <f>SUMIFS('Previdência_(série)'!$R$2:$R$166,'Previdência_(série)'!$A$2:$A$166,"&gt;"&amp;EDATE('Previdência_(série)'!$A136,-12),'Previdência_(série)'!$A$2:$A$166,"&lt;"&amp;EDATE(A136,1))</f>
        <v>47041078887.15</v>
      </c>
      <c r="T136" s="5">
        <v>28886456.28</v>
      </c>
      <c r="U136" s="5">
        <f>IF(MONTH('Previdência_(série)'!$A136)=1,'Previdência_(série)'!$T136,'Previdência_(série)'!$T136-T135)</f>
        <v>14418058.92</v>
      </c>
      <c r="V136" s="5">
        <f>SUMIFS('Previdência_(série)'!$U$2:$U$166,'Previdência_(série)'!$A$2:$A$166,"&gt;"&amp;EDATE('Previdência_(série)'!$A136,-12),'Previdência_(série)'!$A$2:$A$166,"&lt;"&amp;EDATE(A136,1))</f>
        <v>205665299.5</v>
      </c>
      <c r="W136" s="5">
        <v>847677173.73</v>
      </c>
      <c r="X136" s="5">
        <f>IF(MONTH('Previdência_(série)'!$A136)=1,'Previdência_(série)'!$W136,'Previdência_(série)'!$W136-W135)</f>
        <v>399468583.25</v>
      </c>
      <c r="Y136" s="5">
        <f>SUMIFS('Previdência_(série)'!$X$2:$X$166,'Previdência_(série)'!$A$2:$A$166,"&gt;"&amp;EDATE('Previdência_(série)'!$A136,-12),'Previdência_(série)'!$A$2:$A$166,"&lt;"&amp;EDATE(A136,1))</f>
        <v>4585373750</v>
      </c>
      <c r="Z136" s="199"/>
      <c r="AA136" s="1"/>
      <c r="AB136" s="1"/>
      <c r="AC136" s="1"/>
      <c r="AD136" s="4" t="s">
        <v>588</v>
      </c>
      <c r="AE136" s="17">
        <v>43525</v>
      </c>
      <c r="AF136" s="4">
        <v>2019</v>
      </c>
    </row>
    <row ht="13.8" outlineLevel="0" r="137">
      <c r="A137" s="17">
        <v>43556</v>
      </c>
      <c r="B137" s="5">
        <v>131865290207.27</v>
      </c>
      <c r="C137" s="5">
        <f>IF(MONTH('Previdência_(série)'!$A137)=1,'Previdência_(série)'!$B137,'Previdência_(série)'!$B137-B136)</f>
        <v>33947315217.11</v>
      </c>
      <c r="D137" s="5">
        <f>SUMIFS('Previdência_(série)'!$C$2:$C$166,'Previdência_(série)'!$A$2:$A$166,"&gt;"&amp;EDATE('Previdência_(série)'!$A137,-12),'Previdência_(série)'!$A$2:$A$166,"&lt;"&amp;EDATE(A137,1))</f>
        <v>402582426063.69</v>
      </c>
      <c r="E137" s="5">
        <v>196885907825.48</v>
      </c>
      <c r="F137" s="5">
        <f>IF(MONTH('Previdência_(série)'!$A137)=1,'Previdência_(série)'!$E137,'Previdência_(série)'!$E137-E136)</f>
        <v>47858884609.91</v>
      </c>
      <c r="G137" s="5">
        <f>SUMIFS('Previdência_(série)'!$F$2:$F$166,'Previdência_(série)'!$A$2:$A$166,"&gt;"&amp;EDATE('Previdência_(série)'!$A137,-12),'Previdência_(série)'!$A$2:$A$166,"&lt;"&amp;EDATE(A137,1))</f>
        <v>601640670426.75</v>
      </c>
      <c r="H137" s="5">
        <v>10355266142.6</v>
      </c>
      <c r="I137" s="5">
        <f>IF(MONTH('Previdência_(série)'!$A137)=1,'Previdência_(série)'!$H137,'Previdência_(série)'!$H137-H136)</f>
        <v>2595083047.37</v>
      </c>
      <c r="J137" s="5">
        <f>SUMIFS('Previdência_(série)'!$I$2:$I$166,'Previdência_(série)'!$A$2:$A$166,"&gt;"&amp;EDATE('Previdência_(série)'!$A137,-12),'Previdência_(série)'!$A$2:$A$166,"&lt;"&amp;EDATE(A137,1))</f>
        <v>33493884499.53</v>
      </c>
      <c r="K137" s="5">
        <v>26550871807.59</v>
      </c>
      <c r="L137" s="5">
        <f>IF(MONTH('Previdência_(série)'!$A137)=1,'Previdência_(série)'!$K137,'Previdência_(série)'!$K137-K136)</f>
        <v>6645989448.37</v>
      </c>
      <c r="M137" s="5">
        <f>SUMIFS('Previdência_(série)'!$L$2:$L$166,'Previdência_(série)'!$A$2:$A$166,"&gt;"&amp;EDATE('Previdência_(série)'!$A137,-12),'Previdência_(série)'!$A$2:$A$166,"&lt;"&amp;EDATE(A137,1))</f>
        <v>81629148127.39</v>
      </c>
      <c r="N137" s="5">
        <v>789190258.5</v>
      </c>
      <c r="O137" s="5">
        <f>IF(MONTH('Previdência_(série)'!$A137)=1,'Previdência_(série)'!$N137,'Previdência_(série)'!$N137-N136)</f>
        <v>210304156.79</v>
      </c>
      <c r="P137" s="5">
        <f>SUMIFS('Previdência_(série)'!$O$2:$O$166,'Previdência_(série)'!$A$2:$A$166,"&gt;"&amp;EDATE('Previdência_(série)'!$A137,-12),'Previdência_(série)'!$A$2:$A$166,"&lt;"&amp;EDATE(A137,1))</f>
        <v>2413104733.15</v>
      </c>
      <c r="Q137" s="5">
        <v>15227493910.6</v>
      </c>
      <c r="R137" s="5">
        <f>IF(MONTH('Previdência_(série)'!$A137)=1,'Previdência_(série)'!$Q137,'Previdência_(série)'!$Q137-Q136)</f>
        <v>3828680986.34</v>
      </c>
      <c r="S137" s="5">
        <f>SUMIFS('Previdência_(série)'!$R$2:$R$166,'Previdência_(série)'!$A$2:$A$166,"&gt;"&amp;EDATE('Previdência_(série)'!$A137,-12),'Previdência_(série)'!$A$2:$A$166,"&lt;"&amp;EDATE(A137,1))</f>
        <v>47345668564.39</v>
      </c>
      <c r="T137" s="5">
        <v>43312472.15</v>
      </c>
      <c r="U137" s="5">
        <f>IF(MONTH('Previdência_(série)'!$A137)=1,'Previdência_(série)'!$T137,'Previdência_(série)'!$T137-T136)</f>
        <v>14426015.87</v>
      </c>
      <c r="V137" s="5">
        <f>SUMIFS('Previdência_(série)'!$U$2:$U$166,'Previdência_(série)'!$A$2:$A$166,"&gt;"&amp;EDATE('Previdência_(série)'!$A137,-12),'Previdência_(série)'!$A$2:$A$166,"&lt;"&amp;EDATE(A137,1))</f>
        <v>189111252.6</v>
      </c>
      <c r="W137" s="5">
        <v>1257531125.77</v>
      </c>
      <c r="X137" s="5">
        <f>IF(MONTH('Previdência_(série)'!$A137)=1,'Previdência_(série)'!$W137,'Previdência_(série)'!$W137-W136)</f>
        <v>409853952.04</v>
      </c>
      <c r="Y137" s="5">
        <f>SUMIFS('Previdência_(série)'!$X$2:$X$166,'Previdência_(série)'!$A$2:$A$166,"&gt;"&amp;EDATE('Previdência_(série)'!$A137,-12),'Previdência_(série)'!$A$2:$A$166,"&lt;"&amp;EDATE(A137,1))</f>
        <v>4689234122.7</v>
      </c>
      <c r="Z137" s="199"/>
      <c r="AA137" s="1"/>
      <c r="AB137" s="1"/>
      <c r="AC137" s="1"/>
      <c r="AD137" s="4" t="s">
        <v>589</v>
      </c>
      <c r="AE137" s="17">
        <v>43556</v>
      </c>
      <c r="AF137" s="4">
        <v>2019</v>
      </c>
    </row>
    <row ht="13.8" outlineLevel="0" r="138">
      <c r="A138" s="17">
        <v>43586</v>
      </c>
      <c r="B138" s="5">
        <v>164936240609.95</v>
      </c>
      <c r="C138" s="5">
        <f>IF(MONTH('Previdência_(série)'!$A138)=1,'Previdência_(série)'!$B138,'Previdência_(série)'!$B138-B137)</f>
        <v>33070950402.68</v>
      </c>
      <c r="D138" s="5">
        <f>SUMIFS('Previdência_(série)'!$C$2:$C$166,'Previdência_(série)'!$A$2:$A$166,"&gt;"&amp;EDATE('Previdência_(série)'!$A138,-12),'Previdência_(série)'!$A$2:$A$166,"&lt;"&amp;EDATE(A138,1))</f>
        <v>405128647922.16</v>
      </c>
      <c r="E138" s="5">
        <v>244603309116.2</v>
      </c>
      <c r="F138" s="5">
        <f>IF(MONTH('Previdência_(série)'!$A138)=1,'Previdência_(série)'!$E138,'Previdência_(série)'!$E138-E137)</f>
        <v>47717401290.72</v>
      </c>
      <c r="G138" s="5">
        <f>SUMIFS('Previdência_(série)'!$F$2:$F$166,'Previdência_(série)'!$A$2:$A$166,"&gt;"&amp;EDATE('Previdência_(série)'!$A138,-12),'Previdência_(série)'!$A$2:$A$166,"&lt;"&amp;EDATE(A138,1))</f>
        <v>604025249328.9</v>
      </c>
      <c r="H138" s="5">
        <v>13159282253.1</v>
      </c>
      <c r="I138" s="5">
        <f>IF(MONTH('Previdência_(série)'!$A138)=1,'Previdência_(série)'!$H138,'Previdência_(série)'!$H138-H137)</f>
        <v>2804016110.5</v>
      </c>
      <c r="J138" s="5">
        <f>SUMIFS('Previdência_(série)'!$I$2:$I$166,'Previdência_(série)'!$A$2:$A$166,"&gt;"&amp;EDATE('Previdência_(série)'!$A138,-12),'Previdência_(série)'!$A$2:$A$166,"&lt;"&amp;EDATE(A138,1))</f>
        <v>33616867900.69</v>
      </c>
      <c r="K138" s="5">
        <v>33235107347.93</v>
      </c>
      <c r="L138" s="5">
        <f>IF(MONTH('Previdência_(série)'!$A138)=1,'Previdência_(série)'!$K138,'Previdência_(série)'!$K138-K137)</f>
        <v>6684235540.34</v>
      </c>
      <c r="M138" s="5">
        <f>SUMIFS('Previdência_(série)'!$L$2:$L$166,'Previdência_(série)'!$A$2:$A$166,"&gt;"&amp;EDATE('Previdência_(série)'!$A138,-12),'Previdência_(série)'!$A$2:$A$166,"&lt;"&amp;EDATE(A138,1))</f>
        <v>82129559941.25</v>
      </c>
      <c r="N138" s="5">
        <v>999580233.32</v>
      </c>
      <c r="O138" s="5">
        <f>IF(MONTH('Previdência_(série)'!$A138)=1,'Previdência_(série)'!$N138,'Previdência_(série)'!$N138-N137)</f>
        <v>210389974.82</v>
      </c>
      <c r="P138" s="5">
        <f>SUMIFS('Previdência_(série)'!$O$2:$O$166,'Previdência_(série)'!$A$2:$A$166,"&gt;"&amp;EDATE('Previdência_(série)'!$A138,-12),'Previdência_(série)'!$A$2:$A$166,"&lt;"&amp;EDATE(A138,1))</f>
        <v>2426839235.38</v>
      </c>
      <c r="Q138" s="5">
        <v>19078477001.48</v>
      </c>
      <c r="R138" s="5">
        <f>IF(MONTH('Previdência_(série)'!$A138)=1,'Previdência_(série)'!$Q138,'Previdência_(série)'!$Q138-Q137)</f>
        <v>3850983090.88</v>
      </c>
      <c r="S138" s="5">
        <f>SUMIFS('Previdência_(série)'!$R$2:$R$166,'Previdência_(série)'!$A$2:$A$166,"&gt;"&amp;EDATE('Previdência_(série)'!$A138,-12),'Previdência_(série)'!$A$2:$A$166,"&lt;"&amp;EDATE(A138,1))</f>
        <v>47652092423.69</v>
      </c>
      <c r="T138" s="5">
        <v>57751099.64</v>
      </c>
      <c r="U138" s="5">
        <f>IF(MONTH('Previdência_(série)'!$A138)=1,'Previdência_(série)'!$T138,'Previdência_(série)'!$T138-T137)</f>
        <v>14438627.49</v>
      </c>
      <c r="V138" s="5">
        <f>SUMIFS('Previdência_(série)'!$U$2:$U$166,'Previdência_(série)'!$A$2:$A$166,"&gt;"&amp;EDATE('Previdência_(série)'!$A138,-12),'Previdência_(série)'!$A$2:$A$166,"&lt;"&amp;EDATE(A138,1))</f>
        <v>172588153.57</v>
      </c>
      <c r="W138" s="5">
        <v>1671850109.45</v>
      </c>
      <c r="X138" s="5">
        <f>IF(MONTH('Previdência_(série)'!$A138)=1,'Previdência_(série)'!$W138,'Previdência_(série)'!$W138-W137)</f>
        <v>414318983.68</v>
      </c>
      <c r="Y138" s="5">
        <f>SUMIFS('Previdência_(série)'!$X$2:$X$166,'Previdência_(série)'!$A$2:$A$166,"&gt;"&amp;EDATE('Previdência_(série)'!$A138,-12),'Previdência_(série)'!$A$2:$A$166,"&lt;"&amp;EDATE(A138,1))</f>
        <v>4701430797.21</v>
      </c>
      <c r="Z138" s="199"/>
      <c r="AA138" s="1"/>
      <c r="AB138" s="1"/>
      <c r="AC138" s="1"/>
      <c r="AD138" s="4" t="s">
        <v>590</v>
      </c>
      <c r="AE138" s="17">
        <v>43586</v>
      </c>
      <c r="AF138" s="4">
        <v>2019</v>
      </c>
    </row>
    <row ht="13.8" outlineLevel="0" r="139">
      <c r="A139" s="17">
        <v>43617</v>
      </c>
      <c r="B139" s="5">
        <v>197799773956.37</v>
      </c>
      <c r="C139" s="5">
        <f>IF(MONTH('Previdência_(série)'!$A139)=1,'Previdência_(série)'!$B139,'Previdência_(série)'!$B139-B138)</f>
        <v>32863533346.42</v>
      </c>
      <c r="D139" s="5">
        <f>SUMIFS('Previdência_(série)'!$C$2:$C$166,'Previdência_(série)'!$A$2:$A$166,"&gt;"&amp;EDATE('Previdência_(série)'!$A139,-12),'Previdência_(série)'!$A$2:$A$166,"&lt;"&amp;EDATE(A139,1))</f>
        <v>407247617635.93</v>
      </c>
      <c r="E139" s="5">
        <v>292534784387.28</v>
      </c>
      <c r="F139" s="5">
        <f>IF(MONTH('Previdência_(série)'!$A139)=1,'Previdência_(série)'!$E139,'Previdência_(série)'!$E139-E138)</f>
        <v>47931475271.08</v>
      </c>
      <c r="G139" s="5">
        <f>SUMIFS('Previdência_(série)'!$F$2:$F$166,'Previdência_(série)'!$A$2:$A$166,"&gt;"&amp;EDATE('Previdência_(série)'!$A139,-12),'Previdência_(série)'!$A$2:$A$166,"&lt;"&amp;EDATE(A139,1))</f>
        <v>606780877579.11</v>
      </c>
      <c r="H139" s="5">
        <v>15725218690.69</v>
      </c>
      <c r="I139" s="5">
        <f>IF(MONTH('Previdência_(série)'!$A139)=1,'Previdência_(série)'!$H139,'Previdência_(série)'!$H139-H138)</f>
        <v>2565936437.59</v>
      </c>
      <c r="J139" s="5">
        <f>SUMIFS('Previdência_(série)'!$I$2:$I$166,'Previdência_(série)'!$A$2:$A$166,"&gt;"&amp;EDATE('Previdência_(série)'!$A139,-12),'Previdência_(série)'!$A$2:$A$166,"&lt;"&amp;EDATE(A139,1))</f>
        <v>33596134385.67</v>
      </c>
      <c r="K139" s="5">
        <v>42452090651.99</v>
      </c>
      <c r="L139" s="5">
        <f>IF(MONTH('Previdência_(série)'!$A139)=1,'Previdência_(série)'!$K139,'Previdência_(série)'!$K139-K138)</f>
        <v>9216983304.06</v>
      </c>
      <c r="M139" s="5">
        <f>SUMIFS('Previdência_(série)'!$L$2:$L$166,'Previdência_(série)'!$A$2:$A$166,"&gt;"&amp;EDATE('Previdência_(série)'!$A139,-12),'Previdência_(série)'!$A$2:$A$166,"&lt;"&amp;EDATE(A139,1))</f>
        <v>82709169090.61</v>
      </c>
      <c r="N139" s="5">
        <v>1209547277.52</v>
      </c>
      <c r="O139" s="5">
        <f>IF(MONTH('Previdência_(série)'!$A139)=1,'Previdência_(série)'!$N139,'Previdência_(série)'!$N139-N138)</f>
        <v>209967044.2</v>
      </c>
      <c r="P139" s="5">
        <f>SUMIFS('Previdência_(série)'!$O$2:$O$166,'Previdência_(série)'!$A$2:$A$166,"&gt;"&amp;EDATE('Previdência_(série)'!$A139,-12),'Previdência_(série)'!$A$2:$A$166,"&lt;"&amp;EDATE(A139,1))</f>
        <v>2439932211.48</v>
      </c>
      <c r="Q139" s="5">
        <v>24757717940.75</v>
      </c>
      <c r="R139" s="5">
        <f>IF(MONTH('Previdência_(série)'!$A139)=1,'Previdência_(série)'!$Q139,'Previdência_(série)'!$Q139-Q138)</f>
        <v>5679240939.27</v>
      </c>
      <c r="S139" s="5">
        <f>SUMIFS('Previdência_(série)'!$R$2:$R$166,'Previdência_(série)'!$A$2:$A$166,"&gt;"&amp;EDATE('Previdência_(série)'!$A139,-12),'Previdência_(série)'!$A$2:$A$166,"&lt;"&amp;EDATE(A139,1))</f>
        <v>48039697953.38</v>
      </c>
      <c r="T139" s="5">
        <v>72252242.94</v>
      </c>
      <c r="U139" s="5">
        <f>IF(MONTH('Previdência_(série)'!$A139)=1,'Previdência_(série)'!$T139,'Previdência_(série)'!$T139-T138)</f>
        <v>14501143.3</v>
      </c>
      <c r="V139" s="5">
        <f>SUMIFS('Previdência_(série)'!$U$2:$U$166,'Previdência_(série)'!$A$2:$A$166,"&gt;"&amp;EDATE('Previdência_(série)'!$A139,-12),'Previdência_(série)'!$A$2:$A$166,"&lt;"&amp;EDATE(A139,1))</f>
        <v>172777170.61</v>
      </c>
      <c r="W139" s="5">
        <v>2218416367.65</v>
      </c>
      <c r="X139" s="5">
        <f>IF(MONTH('Previdência_(série)'!$A139)=1,'Previdência_(série)'!$W139,'Previdência_(série)'!$W139-W138)</f>
        <v>546566258.2</v>
      </c>
      <c r="Y139" s="5">
        <f>SUMIFS('Previdência_(série)'!$X$2:$X$166,'Previdência_(série)'!$A$2:$A$166,"&gt;"&amp;EDATE('Previdência_(série)'!$A139,-12),'Previdência_(série)'!$A$2:$A$166,"&lt;"&amp;EDATE(A139,1))</f>
        <v>4774450459.55</v>
      </c>
      <c r="Z139" s="199"/>
      <c r="AA139" s="1"/>
      <c r="AB139" s="1"/>
      <c r="AC139" s="1"/>
      <c r="AD139" s="4" t="s">
        <v>591</v>
      </c>
      <c r="AE139" s="17">
        <v>43617</v>
      </c>
      <c r="AF139" s="4">
        <v>2019</v>
      </c>
    </row>
    <row ht="13.8" outlineLevel="0" r="140">
      <c r="A140" s="17">
        <v>43647</v>
      </c>
      <c r="B140" s="5">
        <v>230023197484.14</v>
      </c>
      <c r="C140" s="5">
        <f>IF(MONTH('Previdência_(série)'!$A140)=1,'Previdência_(série)'!$B140,'Previdência_(série)'!$B140-B139)</f>
        <v>32223423527.77</v>
      </c>
      <c r="D140" s="5">
        <f>SUMIFS('Previdência_(série)'!$C$2:$C$166,'Previdência_(série)'!$A$2:$A$166,"&gt;"&amp;EDATE('Previdência_(série)'!$A140,-12),'Previdência_(série)'!$A$2:$A$166,"&lt;"&amp;EDATE(A140,1))</f>
        <v>408672872083.81</v>
      </c>
      <c r="E140" s="5">
        <v>340935595082.64</v>
      </c>
      <c r="F140" s="5">
        <f>IF(MONTH('Previdência_(série)'!$A140)=1,'Previdência_(série)'!$E140,'Previdência_(série)'!$E140-E139)</f>
        <v>48400810695.3599</v>
      </c>
      <c r="G140" s="5">
        <f>SUMIFS('Previdência_(série)'!$F$2:$F$166,'Previdência_(série)'!$A$2:$A$166,"&gt;"&amp;EDATE('Previdência_(série)'!$A140,-12),'Previdência_(série)'!$A$2:$A$166,"&lt;"&amp;EDATE(A140,1))</f>
        <v>609657781132.34</v>
      </c>
      <c r="H140" s="5">
        <v>18172613137.09</v>
      </c>
      <c r="I140" s="5">
        <f>IF(MONTH('Previdência_(série)'!$A140)=1,'Previdência_(série)'!$H140,'Previdência_(série)'!$H140-H139)</f>
        <v>2447394446.4</v>
      </c>
      <c r="J140" s="5">
        <f>SUMIFS('Previdência_(série)'!$I$2:$I$166,'Previdência_(série)'!$A$2:$A$166,"&gt;"&amp;EDATE('Previdência_(série)'!$A140,-12),'Previdência_(série)'!$A$2:$A$166,"&lt;"&amp;EDATE(A140,1))</f>
        <v>33432071041.61</v>
      </c>
      <c r="K140" s="5">
        <v>49041278516.85</v>
      </c>
      <c r="L140" s="5">
        <f>IF(MONTH('Previdência_(série)'!$A140)=1,'Previdência_(série)'!$K140,'Previdência_(série)'!$K140-K139)</f>
        <v>6589187864.86001</v>
      </c>
      <c r="M140" s="5">
        <f>SUMIFS('Previdência_(série)'!$L$2:$L$166,'Previdência_(série)'!$A$2:$A$166,"&gt;"&amp;EDATE('Previdência_(série)'!$A140,-12),'Previdência_(série)'!$A$2:$A$166,"&lt;"&amp;EDATE(A140,1))</f>
        <v>83171621203.76</v>
      </c>
      <c r="N140" s="5">
        <v>1419857528.81</v>
      </c>
      <c r="O140" s="5">
        <f>IF(MONTH('Previdência_(série)'!$A140)=1,'Previdência_(série)'!$N140,'Previdência_(série)'!$N140-N139)</f>
        <v>210310251.29</v>
      </c>
      <c r="P140" s="5">
        <f>SUMIFS('Previdência_(série)'!$O$2:$O$166,'Previdência_(série)'!$A$2:$A$166,"&gt;"&amp;EDATE('Previdência_(série)'!$A140,-12),'Previdência_(série)'!$A$2:$A$166,"&lt;"&amp;EDATE(A140,1))</f>
        <v>2453000152.87</v>
      </c>
      <c r="Q140" s="5">
        <v>28587977538.15</v>
      </c>
      <c r="R140" s="5">
        <f>IF(MONTH('Previdência_(série)'!$A140)=1,'Previdência_(série)'!$Q140,'Previdência_(série)'!$Q140-Q139)</f>
        <v>3830259597.4</v>
      </c>
      <c r="S140" s="5">
        <f>SUMIFS('Previdência_(série)'!$R$2:$R$166,'Previdência_(série)'!$A$2:$A$166,"&gt;"&amp;EDATE('Previdência_(série)'!$A140,-12),'Previdência_(série)'!$A$2:$A$166,"&lt;"&amp;EDATE(A140,1))</f>
        <v>48304708170.72</v>
      </c>
      <c r="T140" s="5">
        <v>150530967.49</v>
      </c>
      <c r="U140" s="5">
        <f>IF(MONTH('Previdência_(série)'!$A140)=1,'Previdência_(série)'!$T140,'Previdência_(série)'!$T140-T139)</f>
        <v>78278724.55</v>
      </c>
      <c r="V140" s="5">
        <f>SUMIFS('Previdência_(série)'!$U$2:$U$166,'Previdência_(série)'!$A$2:$A$166,"&gt;"&amp;EDATE('Previdência_(série)'!$A140,-12),'Previdência_(série)'!$A$2:$A$166,"&lt;"&amp;EDATE(A140,1))</f>
        <v>236797972.11</v>
      </c>
      <c r="W140" s="5">
        <v>2717853370.77</v>
      </c>
      <c r="X140" s="5">
        <f>IF(MONTH('Previdência_(série)'!$A140)=1,'Previdência_(série)'!$W140,'Previdência_(série)'!$W140-W139)</f>
        <v>499437003.12</v>
      </c>
      <c r="Y140" s="5">
        <f>SUMIFS('Previdência_(série)'!$X$2:$X$166,'Previdência_(série)'!$A$2:$A$166,"&gt;"&amp;EDATE('Previdência_(série)'!$A140,-12),'Previdência_(série)'!$A$2:$A$166,"&lt;"&amp;EDATE(A140,1))</f>
        <v>4879641353.32</v>
      </c>
      <c r="Z140" s="199"/>
      <c r="AA140" s="1"/>
      <c r="AB140" s="1"/>
      <c r="AC140" s="1"/>
      <c r="AD140" s="4" t="s">
        <v>592</v>
      </c>
      <c r="AE140" s="17">
        <v>43647</v>
      </c>
      <c r="AF140" s="4">
        <v>2019</v>
      </c>
    </row>
    <row ht="13.8" outlineLevel="0" r="141">
      <c r="A141" s="17">
        <v>43678</v>
      </c>
      <c r="B141" s="5">
        <v>262993818000.53</v>
      </c>
      <c r="C141" s="5">
        <f>IF(MONTH('Previdência_(série)'!$A141)=1,'Previdência_(série)'!$B141,'Previdência_(série)'!$B141-B140)</f>
        <v>32970620516.39</v>
      </c>
      <c r="D141" s="5">
        <f>SUMIFS('Previdência_(série)'!$C$2:$C$166,'Previdência_(série)'!$A$2:$A$166,"&gt;"&amp;EDATE('Previdência_(série)'!$A141,-12),'Previdência_(série)'!$A$2:$A$166,"&lt;"&amp;EDATE(A141,1))</f>
        <v>410367665927.35</v>
      </c>
      <c r="E141" s="5">
        <v>412436945700.68</v>
      </c>
      <c r="F141" s="5">
        <f>IF(MONTH('Previdência_(série)'!$A141)=1,'Previdência_(série)'!$E141,'Previdência_(série)'!$E141-E140)</f>
        <v>71501350618.04</v>
      </c>
      <c r="G141" s="5">
        <f>SUMIFS('Previdência_(série)'!$F$2:$F$166,'Previdência_(série)'!$A$2:$A$166,"&gt;"&amp;EDATE('Previdência_(série)'!$A141,-12),'Previdência_(série)'!$A$2:$A$166,"&lt;"&amp;EDATE(A141,1))</f>
        <v>615688409396.74</v>
      </c>
      <c r="H141" s="5">
        <v>20735957485.34</v>
      </c>
      <c r="I141" s="5">
        <f>IF(MONTH('Previdência_(série)'!$A141)=1,'Previdência_(série)'!$H141,'Previdência_(série)'!$H141-H140)</f>
        <v>2563344348.25</v>
      </c>
      <c r="J141" s="5">
        <f>SUMIFS('Previdência_(série)'!$I$2:$I$166,'Previdência_(série)'!$A$2:$A$166,"&gt;"&amp;EDATE('Previdência_(série)'!$A141,-12),'Previdência_(série)'!$A$2:$A$166,"&lt;"&amp;EDATE(A141,1))</f>
        <v>33492893614.37</v>
      </c>
      <c r="K141" s="5">
        <v>55706169240.19</v>
      </c>
      <c r="L141" s="5">
        <f>IF(MONTH('Previdência_(série)'!$A141)=1,'Previdência_(série)'!$K141,'Previdência_(série)'!$K141-K140)</f>
        <v>6664890723.33999</v>
      </c>
      <c r="M141" s="5">
        <f>SUMIFS('Previdência_(série)'!$L$2:$L$166,'Previdência_(série)'!$A$2:$A$166,"&gt;"&amp;EDATE('Previdência_(série)'!$A141,-12),'Previdência_(série)'!$A$2:$A$166,"&lt;"&amp;EDATE(A141,1))</f>
        <v>83634255338.56</v>
      </c>
      <c r="N141" s="5">
        <v>1628719798.77</v>
      </c>
      <c r="O141" s="5">
        <f>IF(MONTH('Previdência_(série)'!$A141)=1,'Previdência_(série)'!$N141,'Previdência_(série)'!$N141-N140)</f>
        <v>208862269.96</v>
      </c>
      <c r="P141" s="5">
        <f>SUMIFS('Previdência_(série)'!$O$2:$O$166,'Previdência_(série)'!$A$2:$A$166,"&gt;"&amp;EDATE('Previdência_(série)'!$A141,-12),'Previdência_(série)'!$A$2:$A$166,"&lt;"&amp;EDATE(A141,1))</f>
        <v>2465002534.88</v>
      </c>
      <c r="Q141" s="5">
        <v>32417298158.76</v>
      </c>
      <c r="R141" s="5">
        <f>IF(MONTH('Previdência_(série)'!$A141)=1,'Previdência_(série)'!$Q141,'Previdência_(série)'!$Q141-Q140)</f>
        <v>3829320620.61</v>
      </c>
      <c r="S141" s="5">
        <f>SUMIFS('Previdência_(série)'!$R$2:$R$166,'Previdência_(série)'!$A$2:$A$166,"&gt;"&amp;EDATE('Previdência_(série)'!$A141,-12),'Previdência_(série)'!$A$2:$A$166,"&lt;"&amp;EDATE(A141,1))</f>
        <v>48564919856.87</v>
      </c>
      <c r="T141" s="5">
        <v>175711159.19</v>
      </c>
      <c r="U141" s="5">
        <f>IF(MONTH('Previdência_(série)'!$A141)=1,'Previdência_(série)'!$T141,'Previdência_(série)'!$T141-T140)</f>
        <v>25180191.7</v>
      </c>
      <c r="V141" s="5">
        <f>SUMIFS('Previdência_(série)'!$U$2:$U$166,'Previdência_(série)'!$A$2:$A$166,"&gt;"&amp;EDATE('Previdência_(série)'!$A141,-12),'Previdência_(série)'!$A$2:$A$166,"&lt;"&amp;EDATE(A141,1))</f>
        <v>247618363.82</v>
      </c>
      <c r="W141" s="5">
        <v>3154858108.5</v>
      </c>
      <c r="X141" s="5">
        <f>IF(MONTH('Previdência_(série)'!$A141)=1,'Previdência_(série)'!$W141,'Previdência_(série)'!$W141-W140)</f>
        <v>437004737.73</v>
      </c>
      <c r="Y141" s="5">
        <f>SUMIFS('Previdência_(série)'!$X$2:$X$166,'Previdência_(série)'!$A$2:$A$166,"&gt;"&amp;EDATE('Previdência_(série)'!$A141,-12),'Previdência_(série)'!$A$2:$A$166,"&lt;"&amp;EDATE(A141,1))</f>
        <v>4909785260.06</v>
      </c>
      <c r="Z141" s="199"/>
      <c r="AA141" s="1"/>
      <c r="AB141" s="1"/>
      <c r="AC141" s="1"/>
      <c r="AD141" s="4" t="s">
        <v>593</v>
      </c>
      <c r="AE141" s="17">
        <v>43678</v>
      </c>
      <c r="AF141" s="4">
        <v>2019</v>
      </c>
    </row>
    <row ht="13.8" outlineLevel="0" r="142">
      <c r="A142" s="17">
        <v>43709</v>
      </c>
      <c r="B142" s="5">
        <v>295625039359.59</v>
      </c>
      <c r="C142" s="5">
        <f>IF(MONTH('Previdência_(série)'!$A142)=1,'Previdência_(série)'!$B142,'Previdência_(série)'!$B142-B141)</f>
        <v>32631221359.06</v>
      </c>
      <c r="D142" s="5">
        <f>SUMIFS('Previdência_(série)'!$C$2:$C$166,'Previdência_(série)'!$A$2:$A$166,"&gt;"&amp;EDATE('Previdência_(série)'!$A142,-12),'Previdência_(série)'!$A$2:$A$166,"&lt;"&amp;EDATE(A142,1))</f>
        <v>411770756469.6</v>
      </c>
      <c r="E142" s="5">
        <v>460856781590.81</v>
      </c>
      <c r="F142" s="5">
        <f>IF(MONTH('Previdência_(série)'!$A142)=1,'Previdência_(série)'!$E142,'Previdência_(série)'!$E142-E141)</f>
        <v>48419835890.13</v>
      </c>
      <c r="G142" s="5">
        <f>SUMIFS('Previdência_(série)'!$F$2:$F$166,'Previdência_(série)'!$A$2:$A$166,"&gt;"&amp;EDATE('Previdência_(série)'!$A142,-12),'Previdência_(série)'!$A$2:$A$166,"&lt;"&amp;EDATE(A142,1))</f>
        <v>618763017284.95</v>
      </c>
      <c r="H142" s="5">
        <v>23253406149.05</v>
      </c>
      <c r="I142" s="5">
        <f>IF(MONTH('Previdência_(série)'!$A142)=1,'Previdência_(série)'!$H142,'Previdência_(série)'!$H142-H141)</f>
        <v>2517448663.71</v>
      </c>
      <c r="J142" s="5">
        <f>SUMIFS('Previdência_(série)'!$I$2:$I$166,'Previdência_(série)'!$A$2:$A$166,"&gt;"&amp;EDATE('Previdência_(série)'!$A142,-12),'Previdência_(série)'!$A$2:$A$166,"&lt;"&amp;EDATE(A142,1))</f>
        <v>33476340802.89</v>
      </c>
      <c r="K142" s="5">
        <v>62374286280.37</v>
      </c>
      <c r="L142" s="5">
        <f>IF(MONTH('Previdência_(série)'!$A142)=1,'Previdência_(série)'!$K142,'Previdência_(série)'!$K142-K141)</f>
        <v>6668117040.18001</v>
      </c>
      <c r="M142" s="5">
        <f>SUMIFS('Previdência_(série)'!$L$2:$L$166,'Previdência_(série)'!$A$2:$A$166,"&gt;"&amp;EDATE('Previdência_(série)'!$A142,-12),'Previdência_(série)'!$A$2:$A$166,"&lt;"&amp;EDATE(A142,1))</f>
        <v>84143254744.12</v>
      </c>
      <c r="N142" s="5">
        <v>1836981438.89</v>
      </c>
      <c r="O142" s="5">
        <f>IF(MONTH('Previdência_(série)'!$A142)=1,'Previdência_(série)'!$N142,'Previdência_(série)'!$N142-N141)</f>
        <v>208261640.12</v>
      </c>
      <c r="P142" s="5">
        <f>SUMIFS('Previdência_(série)'!$O$2:$O$166,'Previdência_(série)'!$A$2:$A$166,"&gt;"&amp;EDATE('Previdência_(série)'!$A142,-12),'Previdência_(série)'!$A$2:$A$166,"&lt;"&amp;EDATE(A142,1))</f>
        <v>2476120969.1</v>
      </c>
      <c r="Q142" s="5">
        <v>36267265815.54</v>
      </c>
      <c r="R142" s="5">
        <f>IF(MONTH('Previdência_(série)'!$A142)=1,'Previdência_(série)'!$Q142,'Previdência_(série)'!$Q142-Q141)</f>
        <v>3849967656.78</v>
      </c>
      <c r="S142" s="5">
        <f>SUMIFS('Previdência_(série)'!$R$2:$R$166,'Previdência_(série)'!$A$2:$A$166,"&gt;"&amp;EDATE('Previdência_(série)'!$A142,-12),'Previdência_(série)'!$A$2:$A$166,"&lt;"&amp;EDATE(A142,1))</f>
        <v>48820033144.46</v>
      </c>
      <c r="T142" s="5">
        <v>200972845.05</v>
      </c>
      <c r="U142" s="5">
        <f>IF(MONTH('Previdência_(série)'!$A142)=1,'Previdência_(série)'!$T142,'Previdência_(série)'!$T142-T141)</f>
        <v>25261685.86</v>
      </c>
      <c r="V142" s="5">
        <f>SUMIFS('Previdência_(série)'!$U$2:$U$166,'Previdência_(série)'!$A$2:$A$166,"&gt;"&amp;EDATE('Previdência_(série)'!$A142,-12),'Previdência_(série)'!$A$2:$A$166,"&lt;"&amp;EDATE(A142,1))</f>
        <v>258507807.17</v>
      </c>
      <c r="W142" s="5">
        <v>3660544893.27</v>
      </c>
      <c r="X142" s="5">
        <f>IF(MONTH('Previdência_(série)'!$A142)=1,'Previdência_(série)'!$W142,'Previdência_(série)'!$W142-W141)</f>
        <v>505686784.77</v>
      </c>
      <c r="Y142" s="5">
        <f>SUMIFS('Previdência_(série)'!$X$2:$X$166,'Previdência_(série)'!$A$2:$A$166,"&gt;"&amp;EDATE('Previdência_(série)'!$A142,-12),'Previdência_(série)'!$A$2:$A$166,"&lt;"&amp;EDATE(A142,1))</f>
        <v>5001480547.83</v>
      </c>
      <c r="Z142" s="199"/>
      <c r="AA142" s="1"/>
      <c r="AB142" s="1"/>
      <c r="AC142" s="1"/>
      <c r="AD142" s="4" t="s">
        <v>594</v>
      </c>
      <c r="AE142" s="17">
        <v>43709</v>
      </c>
      <c r="AF142" s="4">
        <v>2019</v>
      </c>
    </row>
    <row ht="13.8" outlineLevel="0" r="143">
      <c r="A143" s="17">
        <v>43739</v>
      </c>
      <c r="B143" s="5">
        <v>329524668195.59</v>
      </c>
      <c r="C143" s="5">
        <f>IF(MONTH('Previdência_(série)'!$A143)=1,'Previdência_(série)'!$B143,'Previdência_(série)'!$B143-B142)</f>
        <v>33899628836</v>
      </c>
      <c r="D143" s="5">
        <f>SUMIFS('Previdência_(série)'!$C$2:$C$166,'Previdência_(série)'!$A$2:$A$166,"&gt;"&amp;EDATE('Previdência_(série)'!$A143,-12),'Previdência_(série)'!$A$2:$A$166,"&lt;"&amp;EDATE(A143,1))</f>
        <v>413595249006.53</v>
      </c>
      <c r="E143" s="5">
        <v>509523387188.16</v>
      </c>
      <c r="F143" s="5">
        <f>IF(MONTH('Previdência_(série)'!$A143)=1,'Previdência_(série)'!$E143,'Previdência_(série)'!$E143-E142)</f>
        <v>48666605597.35</v>
      </c>
      <c r="G143" s="5">
        <f>SUMIFS('Previdência_(série)'!$F$2:$F$166,'Previdência_(série)'!$A$2:$A$166,"&gt;"&amp;EDATE('Previdência_(série)'!$A143,-12),'Previdência_(série)'!$A$2:$A$166,"&lt;"&amp;EDATE(A143,1))</f>
        <v>617080003056.74</v>
      </c>
      <c r="H143" s="5">
        <v>25714432632.26</v>
      </c>
      <c r="I143" s="5">
        <f>IF(MONTH('Previdência_(série)'!$A143)=1,'Previdência_(série)'!$H143,'Previdência_(série)'!$H143-H142)</f>
        <v>2461026483.21</v>
      </c>
      <c r="J143" s="5">
        <f>SUMIFS('Previdência_(série)'!$I$2:$I$166,'Previdência_(série)'!$A$2:$A$166,"&gt;"&amp;EDATE('Previdência_(série)'!$A143,-12),'Previdência_(série)'!$A$2:$A$166,"&lt;"&amp;EDATE(A143,1))</f>
        <v>33387579238.02</v>
      </c>
      <c r="K143" s="5">
        <v>69084070001.09</v>
      </c>
      <c r="L143" s="5">
        <f>IF(MONTH('Previdência_(série)'!$A143)=1,'Previdência_(série)'!$K143,'Previdência_(série)'!$K143-K142)</f>
        <v>6709783720.71999</v>
      </c>
      <c r="M143" s="5">
        <f>SUMIFS('Previdência_(série)'!$L$2:$L$166,'Previdência_(série)'!$A$2:$A$166,"&gt;"&amp;EDATE('Previdência_(série)'!$A143,-12),'Previdência_(série)'!$A$2:$A$166,"&lt;"&amp;EDATE(A143,1))</f>
        <v>84693583859.56</v>
      </c>
      <c r="N143" s="5">
        <v>2044928677.92</v>
      </c>
      <c r="O143" s="5">
        <f>IF(MONTH('Previdência_(série)'!$A143)=1,'Previdência_(série)'!$N143,'Previdência_(série)'!$N143-N142)</f>
        <v>207947239.03</v>
      </c>
      <c r="P143" s="5">
        <f>SUMIFS('Previdência_(série)'!$O$2:$O$166,'Previdência_(série)'!$A$2:$A$166,"&gt;"&amp;EDATE('Previdência_(série)'!$A143,-12),'Previdência_(série)'!$A$2:$A$166,"&lt;"&amp;EDATE(A143,1))</f>
        <v>2486910505.15</v>
      </c>
      <c r="Q143" s="5">
        <v>40116953535.93</v>
      </c>
      <c r="R143" s="5">
        <f>IF(MONTH('Previdência_(série)'!$A143)=1,'Previdência_(série)'!$Q143,'Previdência_(série)'!$Q143-Q142)</f>
        <v>3849687720.39</v>
      </c>
      <c r="S143" s="5">
        <f>SUMIFS('Previdência_(série)'!$R$2:$R$166,'Previdência_(série)'!$A$2:$A$166,"&gt;"&amp;EDATE('Previdência_(série)'!$A143,-12),'Previdência_(série)'!$A$2:$A$166,"&lt;"&amp;EDATE(A143,1))</f>
        <v>49073721754.04</v>
      </c>
      <c r="T143" s="5">
        <v>226346066.12</v>
      </c>
      <c r="U143" s="5">
        <f>IF(MONTH('Previdência_(série)'!$A143)=1,'Previdência_(série)'!$T143,'Previdência_(série)'!$T143-T142)</f>
        <v>25373221.07</v>
      </c>
      <c r="V143" s="5">
        <f>SUMIFS('Previdência_(série)'!$U$2:$U$166,'Previdência_(série)'!$A$2:$A$166,"&gt;"&amp;EDATE('Previdência_(série)'!$A143,-12),'Previdência_(série)'!$A$2:$A$166,"&lt;"&amp;EDATE(A143,1))</f>
        <v>269503955.55</v>
      </c>
      <c r="W143" s="5">
        <v>4336280258.97</v>
      </c>
      <c r="X143" s="5">
        <f>IF(MONTH('Previdência_(série)'!$A143)=1,'Previdência_(série)'!$W143,'Previdência_(série)'!$W143-W142)</f>
        <v>675735365.699999</v>
      </c>
      <c r="Y143" s="5">
        <f>SUMIFS('Previdência_(série)'!$X$2:$X$166,'Previdência_(série)'!$A$2:$A$166,"&gt;"&amp;EDATE('Previdência_(série)'!$A143,-12),'Previdência_(série)'!$A$2:$A$166,"&lt;"&amp;EDATE(A143,1))</f>
        <v>5253549910.73</v>
      </c>
      <c r="Z143" s="199"/>
      <c r="AA143" s="1"/>
      <c r="AB143" s="1"/>
      <c r="AC143" s="1"/>
      <c r="AD143" s="4" t="s">
        <v>595</v>
      </c>
      <c r="AE143" s="17">
        <v>43739</v>
      </c>
      <c r="AF143" s="4">
        <v>2019</v>
      </c>
    </row>
    <row ht="13.8" outlineLevel="0" r="144">
      <c r="A144" s="17">
        <v>43770</v>
      </c>
      <c r="B144" s="5">
        <v>362082861323.33</v>
      </c>
      <c r="C144" s="5">
        <f>IF(MONTH('Previdência_(série)'!$A144)=1,'Previdência_(série)'!$B144,'Previdência_(série)'!$B144-B143)</f>
        <v>32558193127.74</v>
      </c>
      <c r="D144" s="5">
        <f>SUMIFS('Previdência_(série)'!$C$2:$C$166,'Previdência_(série)'!$A$2:$A$166,"&gt;"&amp;EDATE('Previdência_(série)'!$A144,-12),'Previdência_(série)'!$A$2:$A$166,"&lt;"&amp;EDATE(A144,1))</f>
        <v>414167390999.44</v>
      </c>
      <c r="E144" s="5">
        <v>581184520624.78</v>
      </c>
      <c r="F144" s="5">
        <f>IF(MONTH('Previdência_(série)'!$A144)=1,'Previdência_(série)'!$E144,'Previdência_(série)'!$E144-E143)</f>
        <v>71661133436.6199</v>
      </c>
      <c r="G144" s="5">
        <f>SUMIFS('Previdência_(série)'!$F$2:$F$166,'Previdência_(série)'!$A$2:$A$166,"&gt;"&amp;EDATE('Previdência_(série)'!$A144,-12),'Previdência_(série)'!$A$2:$A$166,"&lt;"&amp;EDATE(A144,1))</f>
        <v>626725016199.96</v>
      </c>
      <c r="H144" s="5">
        <v>30428750286.92</v>
      </c>
      <c r="I144" s="5">
        <f>IF(MONTH('Previdência_(série)'!$A144)=1,'Previdência_(série)'!$H144,'Previdência_(série)'!$H144-H143)</f>
        <v>4714317654.66</v>
      </c>
      <c r="J144" s="5">
        <f>SUMIFS('Previdência_(série)'!$I$2:$I$166,'Previdência_(série)'!$A$2:$A$166,"&gt;"&amp;EDATE('Previdência_(série)'!$A144,-12),'Previdência_(série)'!$A$2:$A$166,"&lt;"&amp;EDATE(A144,1))</f>
        <v>33524563580.6</v>
      </c>
      <c r="K144" s="5">
        <v>79191597715.11</v>
      </c>
      <c r="L144" s="5">
        <f>IF(MONTH('Previdência_(série)'!$A144)=1,'Previdência_(série)'!$K144,'Previdência_(série)'!$K144-K143)</f>
        <v>10107527714.02</v>
      </c>
      <c r="M144" s="5">
        <f>SUMIFS('Previdência_(série)'!$L$2:$L$166,'Previdência_(série)'!$A$2:$A$166,"&gt;"&amp;EDATE('Previdência_(série)'!$A144,-12),'Previdência_(série)'!$A$2:$A$166,"&lt;"&amp;EDATE(A144,1))</f>
        <v>85738143669.59</v>
      </c>
      <c r="N144" s="5">
        <v>2253834803.31</v>
      </c>
      <c r="O144" s="5">
        <f>IF(MONTH('Previdência_(série)'!$A144)=1,'Previdência_(série)'!$N144,'Previdência_(série)'!$N144-N143)</f>
        <v>208906125.39</v>
      </c>
      <c r="P144" s="5">
        <f>SUMIFS('Previdência_(série)'!$O$2:$O$166,'Previdência_(série)'!$A$2:$A$166,"&gt;"&amp;EDATE('Previdência_(série)'!$A144,-12),'Previdência_(série)'!$A$2:$A$166,"&lt;"&amp;EDATE(A144,1))</f>
        <v>2499049885.23</v>
      </c>
      <c r="Q144" s="5">
        <v>45851151228.06</v>
      </c>
      <c r="R144" s="5">
        <f>IF(MONTH('Previdência_(série)'!$A144)=1,'Previdência_(série)'!$Q144,'Previdência_(série)'!$Q144-Q143)</f>
        <v>5734197692.13</v>
      </c>
      <c r="S144" s="5">
        <f>SUMIFS('Previdência_(série)'!$R$2:$R$166,'Previdência_(série)'!$A$2:$A$166,"&gt;"&amp;EDATE('Previdência_(série)'!$A144,-12),'Previdência_(série)'!$A$2:$A$166,"&lt;"&amp;EDATE(A144,1))</f>
        <v>49449838140.61</v>
      </c>
      <c r="T144" s="5">
        <v>251774566.3</v>
      </c>
      <c r="U144" s="5">
        <f>IF(MONTH('Previdência_(série)'!$A144)=1,'Previdência_(série)'!$T144,'Previdência_(série)'!$T144-T143)</f>
        <v>25428500.18</v>
      </c>
      <c r="V144" s="5">
        <f>SUMIFS('Previdência_(série)'!$U$2:$U$166,'Previdência_(série)'!$A$2:$A$166,"&gt;"&amp;EDATE('Previdência_(série)'!$A144,-12),'Previdência_(série)'!$A$2:$A$166,"&lt;"&amp;EDATE(A144,1))</f>
        <v>280566615.52</v>
      </c>
      <c r="W144" s="5">
        <v>4962901675.94</v>
      </c>
      <c r="X144" s="5">
        <f>IF(MONTH('Previdência_(série)'!$A144)=1,'Previdência_(série)'!$W144,'Previdência_(série)'!$W144-W143)</f>
        <v>626621416.97</v>
      </c>
      <c r="Y144" s="5">
        <f>SUMIFS('Previdência_(série)'!$X$2:$X$166,'Previdência_(série)'!$A$2:$A$166,"&gt;"&amp;EDATE('Previdência_(série)'!$A144,-12),'Previdência_(série)'!$A$2:$A$166,"&lt;"&amp;EDATE(A144,1))</f>
        <v>5193210332.63</v>
      </c>
      <c r="Z144" s="199"/>
      <c r="AA144" s="1"/>
      <c r="AB144" s="1"/>
      <c r="AC144" s="1"/>
      <c r="AD144" s="4" t="s">
        <v>596</v>
      </c>
      <c r="AE144" s="17">
        <v>43770</v>
      </c>
      <c r="AF144" s="4">
        <v>2019</v>
      </c>
    </row>
    <row ht="13.8" outlineLevel="0" r="145">
      <c r="A145" s="17">
        <v>43800</v>
      </c>
      <c r="B145" s="5">
        <v>415170037774.76</v>
      </c>
      <c r="C145" s="5">
        <f>IF(MONTH('Previdência_(série)'!$A145)=1,'Previdência_(série)'!$B145,'Previdência_(série)'!$B145-B144)</f>
        <v>53087176451.43</v>
      </c>
      <c r="D145" s="5">
        <f>SUMIFS('Previdência_(série)'!$C$2:$C$166,'Previdência_(série)'!$A$2:$A$166,"&gt;"&amp;EDATE('Previdência_(série)'!$A145,-12),'Previdência_(série)'!$A$2:$A$166,"&lt;"&amp;EDATE(A145,1))</f>
        <v>415170037774.76</v>
      </c>
      <c r="E145" s="5">
        <v>628468558497.32</v>
      </c>
      <c r="F145" s="5">
        <f>IF(MONTH('Previdência_(série)'!$A145)=1,'Previdência_(série)'!$E145,'Previdência_(série)'!$E145-E144)</f>
        <v>47284037872.5402</v>
      </c>
      <c r="G145" s="5">
        <f>SUMIFS('Previdência_(série)'!$F$2:$F$166,'Previdência_(série)'!$A$2:$A$166,"&gt;"&amp;EDATE('Previdência_(série)'!$A145,-12),'Previdência_(série)'!$A$2:$A$166,"&lt;"&amp;EDATE(A145,1))</f>
        <v>628468558497.32</v>
      </c>
      <c r="H145" s="5">
        <v>33166945562.45</v>
      </c>
      <c r="I145" s="5">
        <f>IF(MONTH('Previdência_(série)'!$A145)=1,'Previdência_(série)'!$H145,'Previdência_(série)'!$H145-H144)</f>
        <v>2738195275.53</v>
      </c>
      <c r="J145" s="5">
        <f>SUMIFS('Previdência_(série)'!$I$2:$I$166,'Previdência_(série)'!$A$2:$A$166,"&gt;"&amp;EDATE('Previdência_(série)'!$A145,-12),'Previdência_(série)'!$A$2:$A$166,"&lt;"&amp;EDATE(A145,1))</f>
        <v>33166945562.45</v>
      </c>
      <c r="K145" s="5">
        <v>86256682460.8</v>
      </c>
      <c r="L145" s="5">
        <f>IF(MONTH('Previdência_(série)'!$A145)=1,'Previdência_(série)'!$K145,'Previdência_(série)'!$K145-K144)</f>
        <v>7065084745.69</v>
      </c>
      <c r="M145" s="5">
        <f>SUMIFS('Previdência_(série)'!$L$2:$L$166,'Previdência_(série)'!$A$2:$A$166,"&gt;"&amp;EDATE('Previdência_(série)'!$A145,-12),'Previdência_(série)'!$A$2:$A$166,"&lt;"&amp;EDATE(A145,1))</f>
        <v>86256682460.8</v>
      </c>
      <c r="N145" s="5">
        <v>2691254302.64</v>
      </c>
      <c r="O145" s="5">
        <f>IF(MONTH('Previdência_(série)'!$A145)=1,'Previdência_(série)'!$N145,'Previdência_(série)'!$N145-N144)</f>
        <v>437419499.329999</v>
      </c>
      <c r="P145" s="5">
        <f>SUMIFS('Previdência_(série)'!$O$2:$O$166,'Previdência_(série)'!$A$2:$A$166,"&gt;"&amp;EDATE('Previdência_(série)'!$A145,-12),'Previdência_(série)'!$A$2:$A$166,"&lt;"&amp;EDATE(A145,1))</f>
        <v>2691254302.64</v>
      </c>
      <c r="Q145" s="5">
        <v>49705978992.92</v>
      </c>
      <c r="R145" s="5">
        <f>IF(MONTH('Previdência_(série)'!$A145)=1,'Previdência_(série)'!$Q145,'Previdência_(série)'!$Q145-Q144)</f>
        <v>3854827764.86</v>
      </c>
      <c r="S145" s="5">
        <f>SUMIFS('Previdência_(série)'!$R$2:$R$166,'Previdência_(série)'!$A$2:$A$166,"&gt;"&amp;EDATE('Previdência_(série)'!$A145,-12),'Previdência_(série)'!$A$2:$A$166,"&lt;"&amp;EDATE(A145,1))</f>
        <v>49705978992.92</v>
      </c>
      <c r="T145" s="5">
        <v>294011439.16</v>
      </c>
      <c r="U145" s="5">
        <f>IF(MONTH('Previdência_(série)'!$A145)=1,'Previdência_(série)'!$T145,'Previdência_(série)'!$T145-T144)</f>
        <v>42236872.86</v>
      </c>
      <c r="V145" s="5">
        <f>SUMIFS('Previdência_(série)'!$U$2:$U$166,'Previdência_(série)'!$A$2:$A$166,"&gt;"&amp;EDATE('Previdência_(série)'!$A145,-12),'Previdência_(série)'!$A$2:$A$166,"&lt;"&amp;EDATE(A145,1))</f>
        <v>294011439.16</v>
      </c>
      <c r="W145" s="5">
        <v>5330928052.09</v>
      </c>
      <c r="X145" s="5">
        <f>IF(MONTH('Previdência_(série)'!$A145)=1,'Previdência_(série)'!$W145,'Previdência_(série)'!$W145-W144)</f>
        <v>368026376.150001</v>
      </c>
      <c r="Y145" s="5">
        <f>SUMIFS('Previdência_(série)'!$X$2:$X$166,'Previdência_(série)'!$A$2:$A$166,"&gt;"&amp;EDATE('Previdência_(série)'!$A145,-12),'Previdência_(série)'!$A$2:$A$166,"&lt;"&amp;EDATE(A145,1))</f>
        <v>5330928052.09</v>
      </c>
      <c r="Z145" s="199"/>
      <c r="AA145" s="1"/>
      <c r="AB145" s="1"/>
      <c r="AC145" s="1"/>
      <c r="AD145" s="4" t="s">
        <v>597</v>
      </c>
      <c r="AE145" s="17">
        <v>43800</v>
      </c>
      <c r="AF145" s="4">
        <v>2019</v>
      </c>
    </row>
    <row ht="13.8" outlineLevel="0" r="146">
      <c r="A146" s="17">
        <v>43831</v>
      </c>
      <c r="B146" s="5">
        <v>34657592146.23</v>
      </c>
      <c r="C146" s="5">
        <f>IF(MONTH('Previdência_(série)'!$A146)=1,'Previdência_(série)'!$B146,'Previdência_(série)'!$B146-B145)</f>
        <v>34657592146.23</v>
      </c>
      <c r="D146" s="5">
        <f>SUMIFS('Previdência_(série)'!$C$2:$C$166,'Previdência_(série)'!$A$2:$A$166,"&gt;"&amp;EDATE('Previdência_(série)'!$A146,-12),'Previdência_(série)'!$A$2:$A$166,"&lt;"&amp;EDATE(A146,1))</f>
        <v>415913825959.26</v>
      </c>
      <c r="E146" s="5">
        <v>51467917252.42</v>
      </c>
      <c r="F146" s="5">
        <f>IF(MONTH('Previdência_(série)'!$A146)=1,'Previdência_(série)'!$E146,'Previdência_(série)'!$E146-E145)</f>
        <v>51467917252.42</v>
      </c>
      <c r="G146" s="5">
        <f>SUMIFS('Previdência_(série)'!$F$2:$F$166,'Previdência_(série)'!$A$2:$A$166,"&gt;"&amp;EDATE('Previdência_(série)'!$A146,-12),'Previdência_(série)'!$A$2:$A$166,"&lt;"&amp;EDATE(A146,1))</f>
        <v>631522408660.08</v>
      </c>
      <c r="H146" s="5">
        <v>2542394602.7</v>
      </c>
      <c r="I146" s="5">
        <f>IF(MONTH('Previdência_(série)'!$A146)=1,'Previdência_(série)'!$H146,'Previdência_(série)'!$H146-H145)</f>
        <v>2542394602.7</v>
      </c>
      <c r="J146" s="5">
        <f>SUMIFS('Previdência_(série)'!$I$2:$I$166,'Previdência_(série)'!$A$2:$A$166,"&gt;"&amp;EDATE('Previdência_(série)'!$A146,-12),'Previdência_(série)'!$A$2:$A$166,"&lt;"&amp;EDATE(A146,1))</f>
        <v>33133289285.23</v>
      </c>
      <c r="K146" s="5">
        <v>7107479866.39</v>
      </c>
      <c r="L146" s="5">
        <f>IF(MONTH('Previdência_(série)'!$A146)=1,'Previdência_(série)'!$K146,'Previdência_(série)'!$K146-K145)</f>
        <v>7107479866.39</v>
      </c>
      <c r="M146" s="5">
        <f>SUMIFS('Previdência_(série)'!$L$2:$L$166,'Previdência_(série)'!$A$2:$A$166,"&gt;"&amp;EDATE('Previdência_(série)'!$A146,-12),'Previdência_(série)'!$A$2:$A$166,"&lt;"&amp;EDATE(A146,1))</f>
        <v>86647600241.44</v>
      </c>
      <c r="N146" s="5">
        <v>239756324.77</v>
      </c>
      <c r="O146" s="5">
        <f>IF(MONTH('Previdência_(série)'!$A146)=1,'Previdência_(série)'!$N146,'Previdência_(série)'!$N146-N145)</f>
        <v>239756324.77</v>
      </c>
      <c r="P146" s="5">
        <f>SUMIFS('Previdência_(série)'!$O$2:$O$166,'Previdência_(série)'!$A$2:$A$166,"&gt;"&amp;EDATE('Previdência_(série)'!$A146,-12),'Previdência_(série)'!$A$2:$A$166,"&lt;"&amp;EDATE(A146,1))</f>
        <v>2771734369.69</v>
      </c>
      <c r="Q146" s="5">
        <v>3872178025.52</v>
      </c>
      <c r="R146" s="5">
        <f>IF(MONTH('Previdência_(série)'!$A146)=1,'Previdência_(série)'!$Q146,'Previdência_(série)'!$Q146-Q145)</f>
        <v>3872178025.52</v>
      </c>
      <c r="S146" s="5">
        <f>SUMIFS('Previdência_(série)'!$R$2:$R$166,'Previdência_(série)'!$A$2:$A$166,"&gt;"&amp;EDATE('Previdência_(série)'!$A146,-12),'Previdência_(série)'!$A$2:$A$166,"&lt;"&amp;EDATE(A146,1))</f>
        <v>49788947798.66</v>
      </c>
      <c r="T146" s="5">
        <v>31717456.32</v>
      </c>
      <c r="U146" s="5">
        <f>IF(MONTH('Previdência_(série)'!$A146)=1,'Previdência_(série)'!$T146,'Previdência_(série)'!$T146-T145)</f>
        <v>31717456.32</v>
      </c>
      <c r="V146" s="5">
        <f>SUMIFS('Previdência_(série)'!$U$2:$U$166,'Previdência_(série)'!$A$2:$A$166,"&gt;"&amp;EDATE('Previdência_(série)'!$A146,-12),'Previdência_(série)'!$A$2:$A$166,"&lt;"&amp;EDATE(A146,1))</f>
        <v>325725109.09</v>
      </c>
      <c r="W146" s="5">
        <v>394705422.81</v>
      </c>
      <c r="X146" s="5">
        <f>IF(MONTH('Previdência_(série)'!$A146)=1,'Previdência_(série)'!$W146,'Previdência_(série)'!$W146-W145)</f>
        <v>394705422.81</v>
      </c>
      <c r="Y146" s="5">
        <f>SUMIFS('Previdência_(série)'!$X$2:$X$166,'Previdência_(série)'!$A$2:$A$166,"&gt;"&amp;EDATE('Previdência_(série)'!$A146,-12),'Previdência_(série)'!$A$2:$A$166,"&lt;"&amp;EDATE(A146,1))</f>
        <v>5504828769.46</v>
      </c>
      <c r="Z146" s="199"/>
      <c r="AA146" s="1"/>
      <c r="AB146" s="1"/>
      <c r="AC146" s="1"/>
      <c r="AD146" s="4" t="s">
        <v>586</v>
      </c>
      <c r="AE146" s="17">
        <v>43831</v>
      </c>
      <c r="AF146" s="4">
        <v>2020</v>
      </c>
    </row>
    <row ht="13.8" outlineLevel="0" r="147">
      <c r="A147" s="17">
        <v>43862</v>
      </c>
      <c r="B147" s="5">
        <v>67882337425.61</v>
      </c>
      <c r="C147" s="5">
        <f>IF(MONTH('Previdência_(série)'!$A147)=1,'Previdência_(série)'!$B147,'Previdência_(série)'!$B147-B146)</f>
        <v>33224745279.38</v>
      </c>
      <c r="D147" s="5">
        <f>SUMIFS('Previdência_(série)'!$C$2:$C$166,'Previdência_(série)'!$A$2:$A$166,"&gt;"&amp;EDATE('Previdência_(série)'!$A147,-12),'Previdência_(série)'!$A$2:$A$166,"&lt;"&amp;EDATE(A147,1))</f>
        <v>417054404425.19</v>
      </c>
      <c r="E147" s="5">
        <v>102507642520.99</v>
      </c>
      <c r="F147" s="5">
        <f>IF(MONTH('Previdência_(série)'!$A147)=1,'Previdência_(série)'!$E147,'Previdência_(série)'!$E147-E146)</f>
        <v>51039725268.57</v>
      </c>
      <c r="G147" s="5">
        <f>SUMIFS('Previdência_(série)'!$F$2:$F$166,'Previdência_(série)'!$A$2:$A$166,"&gt;"&amp;EDATE('Previdência_(série)'!$A147,-12),'Previdência_(série)'!$A$2:$A$166,"&lt;"&amp;EDATE(A147,1))</f>
        <v>635163701419.22</v>
      </c>
      <c r="H147" s="5">
        <v>5007118242.43</v>
      </c>
      <c r="I147" s="5">
        <f>IF(MONTH('Previdência_(série)'!$A147)=1,'Previdência_(série)'!$H147,'Previdência_(série)'!$H147-H146)</f>
        <v>2464723639.73</v>
      </c>
      <c r="J147" s="5">
        <f>SUMIFS('Previdência_(série)'!$I$2:$I$166,'Previdência_(série)'!$A$2:$A$166,"&gt;"&amp;EDATE('Previdência_(série)'!$A147,-12),'Previdência_(série)'!$A$2:$A$166,"&lt;"&amp;EDATE(A147,1))</f>
        <v>32987077409.57</v>
      </c>
      <c r="K147" s="5">
        <v>13857574494.02</v>
      </c>
      <c r="L147" s="5">
        <f>IF(MONTH('Previdência_(série)'!$A147)=1,'Previdência_(série)'!$K147,'Previdência_(série)'!$K147-K146)</f>
        <v>6750094627.63</v>
      </c>
      <c r="M147" s="5">
        <f>SUMIFS('Previdência_(série)'!$L$2:$L$166,'Previdência_(série)'!$A$2:$A$166,"&gt;"&amp;EDATE('Previdência_(série)'!$A147,-12),'Previdência_(série)'!$A$2:$A$166,"&lt;"&amp;EDATE(A147,1))</f>
        <v>87047282373.56</v>
      </c>
      <c r="N147" s="5">
        <v>555246432.97</v>
      </c>
      <c r="O147" s="5">
        <f>IF(MONTH('Previdência_(série)'!$A147)=1,'Previdência_(série)'!$N147,'Previdência_(série)'!$N147-N146)</f>
        <v>315490108.2</v>
      </c>
      <c r="P147" s="5">
        <f>SUMIFS('Previdência_(série)'!$O$2:$O$166,'Previdência_(série)'!$A$2:$A$166,"&gt;"&amp;EDATE('Previdência_(série)'!$A147,-12),'Previdência_(série)'!$A$2:$A$166,"&lt;"&amp;EDATE(A147,1))</f>
        <v>2877348560.27</v>
      </c>
      <c r="Q147" s="5">
        <v>7738357276.07</v>
      </c>
      <c r="R147" s="5">
        <f>IF(MONTH('Previdência_(série)'!$A147)=1,'Previdência_(série)'!$Q147,'Previdência_(série)'!$Q147-Q146)</f>
        <v>3866179250.55</v>
      </c>
      <c r="S147" s="5">
        <f>SUMIFS('Previdência_(série)'!$R$2:$R$166,'Previdência_(série)'!$A$2:$A$166,"&gt;"&amp;EDATE('Previdência_(série)'!$A147,-12),'Previdência_(série)'!$A$2:$A$166,"&lt;"&amp;EDATE(A147,1))</f>
        <v>49851152928.65</v>
      </c>
      <c r="T147" s="5">
        <v>63862222.96</v>
      </c>
      <c r="U147" s="5">
        <f>IF(MONTH('Previdência_(série)'!$A147)=1,'Previdência_(série)'!$T147,'Previdência_(série)'!$T147-T146)</f>
        <v>32144766.64</v>
      </c>
      <c r="V147" s="5">
        <f>SUMIFS('Previdência_(série)'!$U$2:$U$166,'Previdência_(série)'!$A$2:$A$166,"&gt;"&amp;EDATE('Previdência_(série)'!$A147,-12),'Previdência_(série)'!$A$2:$A$166,"&lt;"&amp;EDATE(A147,1))</f>
        <v>343405264.76</v>
      </c>
      <c r="W147" s="5">
        <v>728649233.56</v>
      </c>
      <c r="X147" s="5">
        <f>IF(MONTH('Previdência_(série)'!$A147)=1,'Previdência_(série)'!$W147,'Previdência_(série)'!$W147-W146)</f>
        <v>333943810.75</v>
      </c>
      <c r="Y147" s="5">
        <f>SUMIFS('Previdência_(série)'!$X$2:$X$166,'Previdência_(série)'!$A$2:$A$166,"&gt;"&amp;EDATE('Previdência_(série)'!$A147,-12),'Previdência_(série)'!$A$2:$A$166,"&lt;"&amp;EDATE(A147,1))</f>
        <v>5611368695.17</v>
      </c>
      <c r="Z147" s="199"/>
      <c r="AA147" s="1"/>
      <c r="AB147" s="1"/>
      <c r="AC147" s="1"/>
      <c r="AD147" s="4" t="s">
        <v>587</v>
      </c>
      <c r="AE147" s="17">
        <v>43862</v>
      </c>
      <c r="AF147" s="4">
        <v>2020</v>
      </c>
    </row>
    <row ht="13.8" outlineLevel="0" r="148">
      <c r="A148" s="17">
        <v>43891</v>
      </c>
      <c r="B148" s="5">
        <v>99792476533.37</v>
      </c>
      <c r="C148" s="5">
        <f>IF(MONTH('Previdência_(série)'!$A148)=1,'Previdência_(série)'!$B148,'Previdência_(série)'!$B148-B147)</f>
        <v>31910139107.76</v>
      </c>
      <c r="D148" s="5">
        <f>SUMIFS('Previdência_(série)'!$C$2:$C$166,'Previdência_(série)'!$A$2:$A$166,"&gt;"&amp;EDATE('Previdência_(série)'!$A148,-12),'Previdência_(série)'!$A$2:$A$166,"&lt;"&amp;EDATE(A148,1))</f>
        <v>417044539317.97</v>
      </c>
      <c r="E148" s="5">
        <v>152931491317.18</v>
      </c>
      <c r="F148" s="5">
        <f>IF(MONTH('Previdência_(série)'!$A148)=1,'Previdência_(série)'!$E148,'Previdência_(série)'!$E148-E147)</f>
        <v>50423848796.19</v>
      </c>
      <c r="G148" s="5">
        <f>SUMIFS('Previdência_(série)'!$F$2:$F$166,'Previdência_(série)'!$A$2:$A$166,"&gt;"&amp;EDATE('Previdência_(série)'!$A148,-12),'Previdência_(série)'!$A$2:$A$166,"&lt;"&amp;EDATE(A148,1))</f>
        <v>632373026598.93</v>
      </c>
      <c r="H148" s="5">
        <v>8128676478.68</v>
      </c>
      <c r="I148" s="5">
        <f>IF(MONTH('Previdência_(série)'!$A148)=1,'Previdência_(série)'!$H148,'Previdência_(série)'!$H148-H147)</f>
        <v>3121558236.25</v>
      </c>
      <c r="J148" s="5">
        <f>SUMIFS('Previdência_(série)'!$I$2:$I$166,'Previdência_(série)'!$A$2:$A$166,"&gt;"&amp;EDATE('Previdência_(série)'!$A148,-12),'Previdência_(série)'!$A$2:$A$166,"&lt;"&amp;EDATE(A148,1))</f>
        <v>33535438945.9</v>
      </c>
      <c r="K148" s="5">
        <v>20533918019.24</v>
      </c>
      <c r="L148" s="5">
        <f>IF(MONTH('Previdência_(série)'!$A148)=1,'Previdência_(série)'!$K148,'Previdência_(série)'!$K148-K147)</f>
        <v>6676343525.22</v>
      </c>
      <c r="M148" s="5">
        <f>SUMIFS('Previdência_(série)'!$L$2:$L$166,'Previdência_(série)'!$A$2:$A$166,"&gt;"&amp;EDATE('Previdência_(série)'!$A148,-12),'Previdência_(série)'!$A$2:$A$166,"&lt;"&amp;EDATE(A148,1))</f>
        <v>86885718120.82</v>
      </c>
      <c r="N148" s="5">
        <v>985495227.71</v>
      </c>
      <c r="O148" s="5">
        <f>IF(MONTH('Previdência_(série)'!$A148)=1,'Previdência_(série)'!$N148,'Previdência_(série)'!$N148-N147)</f>
        <v>430248794.74</v>
      </c>
      <c r="P148" s="5">
        <f>SUMIFS('Previdência_(série)'!$O$2:$O$166,'Previdência_(série)'!$A$2:$A$166,"&gt;"&amp;EDATE('Previdência_(série)'!$A148,-12),'Previdência_(série)'!$A$2:$A$166,"&lt;"&amp;EDATE(A148,1))</f>
        <v>3097863428.64</v>
      </c>
      <c r="Q148" s="5">
        <v>11621499669.98</v>
      </c>
      <c r="R148" s="5">
        <f>IF(MONTH('Previdência_(série)'!$A148)=1,'Previdência_(série)'!$Q148,'Previdência_(série)'!$Q148-Q147)</f>
        <v>3883142393.91</v>
      </c>
      <c r="S148" s="5">
        <f>SUMIFS('Previdência_(série)'!$R$2:$R$166,'Previdência_(série)'!$A$2:$A$166,"&gt;"&amp;EDATE('Previdência_(série)'!$A148,-12),'Previdência_(série)'!$A$2:$A$166,"&lt;"&amp;EDATE(A148,1))</f>
        <v>49928665738.64</v>
      </c>
      <c r="T148" s="5">
        <v>95966151.44</v>
      </c>
      <c r="U148" s="5">
        <f>IF(MONTH('Previdência_(série)'!$A148)=1,'Previdência_(série)'!$T148,'Previdência_(série)'!$T148-T147)</f>
        <v>32103928.48</v>
      </c>
      <c r="V148" s="5">
        <f>SUMIFS('Previdência_(série)'!$U$2:$U$166,'Previdência_(série)'!$A$2:$A$166,"&gt;"&amp;EDATE('Previdência_(série)'!$A148,-12),'Previdência_(série)'!$A$2:$A$166,"&lt;"&amp;EDATE(A148,1))</f>
        <v>361091134.32</v>
      </c>
      <c r="W148" s="5">
        <v>1412589767.62</v>
      </c>
      <c r="X148" s="5">
        <f>IF(MONTH('Previdência_(série)'!$A148)=1,'Previdência_(série)'!$W148,'Previdência_(série)'!$W148-W147)</f>
        <v>683940534.06</v>
      </c>
      <c r="Y148" s="5">
        <f>SUMIFS('Previdência_(série)'!$X$2:$X$166,'Previdência_(série)'!$A$2:$A$166,"&gt;"&amp;EDATE('Previdência_(série)'!$A148,-12),'Previdência_(série)'!$A$2:$A$166,"&lt;"&amp;EDATE(A148,1))</f>
        <v>5895840645.98</v>
      </c>
      <c r="Z148" s="199"/>
      <c r="AA148" s="1"/>
      <c r="AB148" s="1"/>
      <c r="AC148" s="1"/>
      <c r="AD148" s="4" t="s">
        <v>588</v>
      </c>
      <c r="AE148" s="17">
        <v>43891</v>
      </c>
      <c r="AF148" s="4">
        <v>2020</v>
      </c>
    </row>
    <row ht="13.8" outlineLevel="0" r="149">
      <c r="A149" s="17">
        <v>43922</v>
      </c>
      <c r="B149" s="5">
        <v>122752461143.83</v>
      </c>
      <c r="C149" s="5">
        <f>IF(MONTH('Previdência_(série)'!$A149)=1,'Previdência_(série)'!$B149,'Previdência_(série)'!$B149-B148)</f>
        <v>22959984610.46</v>
      </c>
      <c r="D149" s="5">
        <f>SUMIFS('Previdência_(série)'!$C$2:$C$166,'Previdência_(série)'!$A$2:$A$166,"&gt;"&amp;EDATE('Previdência_(série)'!$A149,-12),'Previdência_(série)'!$A$2:$A$166,"&lt;"&amp;EDATE(A149,1))</f>
        <v>406057208711.32</v>
      </c>
      <c r="E149" s="5">
        <v>227899697997.98</v>
      </c>
      <c r="F149" s="5">
        <f>IF(MONTH('Previdência_(série)'!$A149)=1,'Previdência_(série)'!$E149,'Previdência_(série)'!$E149-E148)</f>
        <v>74968206680.8</v>
      </c>
      <c r="G149" s="5">
        <f>SUMIFS('Previdência_(série)'!$F$2:$F$166,'Previdência_(série)'!$A$2:$A$166,"&gt;"&amp;EDATE('Previdência_(série)'!$A149,-12),'Previdência_(série)'!$A$2:$A$166,"&lt;"&amp;EDATE(A149,1))</f>
        <v>659482348669.82</v>
      </c>
      <c r="H149" s="5">
        <v>11213079326.75</v>
      </c>
      <c r="I149" s="5">
        <f>IF(MONTH('Previdência_(série)'!$A149)=1,'Previdência_(série)'!$H149,'Previdência_(série)'!$H149-H148)</f>
        <v>3084402848.07</v>
      </c>
      <c r="J149" s="5">
        <f>SUMIFS('Previdência_(série)'!$I$2:$I$166,'Previdência_(série)'!$A$2:$A$166,"&gt;"&amp;EDATE('Previdência_(série)'!$A149,-12),'Previdência_(série)'!$A$2:$A$166,"&lt;"&amp;EDATE(A149,1))</f>
        <v>34024758746.6</v>
      </c>
      <c r="K149" s="5">
        <v>27279152170.97</v>
      </c>
      <c r="L149" s="5">
        <f>IF(MONTH('Previdência_(série)'!$A149)=1,'Previdência_(série)'!$K149,'Previdência_(série)'!$K149-K148)</f>
        <v>6745234151.73</v>
      </c>
      <c r="M149" s="5">
        <f>SUMIFS('Previdência_(série)'!$L$2:$L$166,'Previdência_(série)'!$A$2:$A$166,"&gt;"&amp;EDATE('Previdência_(série)'!$A149,-12),'Previdência_(série)'!$A$2:$A$166,"&lt;"&amp;EDATE(A149,1))</f>
        <v>86984962824.18</v>
      </c>
      <c r="N149" s="5">
        <v>1558831641.14</v>
      </c>
      <c r="O149" s="5">
        <f>IF(MONTH('Previdência_(série)'!$A149)=1,'Previdência_(série)'!$N149,'Previdência_(série)'!$N149-N148)</f>
        <v>573336413.43</v>
      </c>
      <c r="P149" s="5">
        <f>SUMIFS('Previdência_(série)'!$O$2:$O$166,'Previdência_(série)'!$A$2:$A$166,"&gt;"&amp;EDATE('Previdência_(série)'!$A149,-12),'Previdência_(série)'!$A$2:$A$166,"&lt;"&amp;EDATE(A149,1))</f>
        <v>3460895685.28</v>
      </c>
      <c r="Q149" s="5">
        <v>15518578413.35</v>
      </c>
      <c r="R149" s="5">
        <f>IF(MONTH('Previdência_(série)'!$A149)=1,'Previdência_(série)'!$Q149,'Previdência_(série)'!$Q149-Q148)</f>
        <v>3897078743.37</v>
      </c>
      <c r="S149" s="5">
        <f>SUMIFS('Previdência_(série)'!$R$2:$R$166,'Previdência_(série)'!$A$2:$A$166,"&gt;"&amp;EDATE('Previdência_(série)'!$A149,-12),'Previdência_(série)'!$A$2:$A$166,"&lt;"&amp;EDATE(A149,1))</f>
        <v>49997063495.67</v>
      </c>
      <c r="T149" s="5">
        <v>135629344.5</v>
      </c>
      <c r="U149" s="5">
        <f>IF(MONTH('Previdência_(série)'!$A149)=1,'Previdência_(série)'!$T149,'Previdência_(série)'!$T149-T148)</f>
        <v>39663193.06</v>
      </c>
      <c r="V149" s="5">
        <f>SUMIFS('Previdência_(série)'!$U$2:$U$166,'Previdência_(série)'!$A$2:$A$166,"&gt;"&amp;EDATE('Previdência_(série)'!$A149,-12),'Previdência_(série)'!$A$2:$A$166,"&lt;"&amp;EDATE(A149,1))</f>
        <v>386328311.51</v>
      </c>
      <c r="W149" s="5">
        <v>1872460217.95</v>
      </c>
      <c r="X149" s="5">
        <f>IF(MONTH('Previdência_(série)'!$A149)=1,'Previdência_(série)'!$W149,'Previdência_(série)'!$W149-W148)</f>
        <v>459870450.33</v>
      </c>
      <c r="Y149" s="5">
        <f>SUMIFS('Previdência_(série)'!$X$2:$X$166,'Previdência_(série)'!$A$2:$A$166,"&gt;"&amp;EDATE('Previdência_(série)'!$A149,-12),'Previdência_(série)'!$A$2:$A$166,"&lt;"&amp;EDATE(A149,1))</f>
        <v>5945857144.27</v>
      </c>
      <c r="Z149" s="199"/>
      <c r="AA149" s="1"/>
      <c r="AB149" s="1"/>
      <c r="AC149" s="1"/>
      <c r="AD149" s="4" t="s">
        <v>589</v>
      </c>
      <c r="AE149" s="17">
        <v>43922</v>
      </c>
      <c r="AF149" s="4">
        <v>2020</v>
      </c>
    </row>
    <row ht="13.8" outlineLevel="0" r="150">
      <c r="A150" s="17">
        <v>43952</v>
      </c>
      <c r="B150" s="5">
        <v>143701308241.25</v>
      </c>
      <c r="C150" s="5">
        <f>IF(MONTH('Previdência_(série)'!$A150)=1,'Previdência_(série)'!$B150,'Previdência_(série)'!$B150-B149)</f>
        <v>20948847097.42</v>
      </c>
      <c r="D150" s="5">
        <f>SUMIFS('Previdência_(série)'!$C$2:$C$166,'Previdência_(série)'!$A$2:$A$166,"&gt;"&amp;EDATE('Previdência_(série)'!$A150,-12),'Previdência_(série)'!$A$2:$A$166,"&lt;"&amp;EDATE(A150,1))</f>
        <v>393935105406.06</v>
      </c>
      <c r="E150" s="5">
        <v>302259481964.27</v>
      </c>
      <c r="F150" s="5">
        <f>IF(MONTH('Previdência_(série)'!$A150)=1,'Previdência_(série)'!$E150,'Previdência_(série)'!$E150-E149)</f>
        <v>74359783966.29</v>
      </c>
      <c r="G150" s="5">
        <f>SUMIFS('Previdência_(série)'!$F$2:$F$166,'Previdência_(série)'!$A$2:$A$166,"&gt;"&amp;EDATE('Previdência_(série)'!$A150,-12),'Previdência_(série)'!$A$2:$A$166,"&lt;"&amp;EDATE(A150,1))</f>
        <v>686124731345.39</v>
      </c>
      <c r="H150" s="5">
        <v>14275052244.37</v>
      </c>
      <c r="I150" s="5">
        <f>IF(MONTH('Previdência_(série)'!$A150)=1,'Previdência_(série)'!$H150,'Previdência_(série)'!$H150-H149)</f>
        <v>3061972917.62</v>
      </c>
      <c r="J150" s="5">
        <f>SUMIFS('Previdência_(série)'!$I$2:$I$166,'Previdência_(série)'!$A$2:$A$166,"&gt;"&amp;EDATE('Previdência_(série)'!$A150,-12),'Previdência_(série)'!$A$2:$A$166,"&lt;"&amp;EDATE(A150,1))</f>
        <v>34282715553.72</v>
      </c>
      <c r="K150" s="5">
        <v>34167640593.65</v>
      </c>
      <c r="L150" s="5">
        <f>IF(MONTH('Previdência_(série)'!$A150)=1,'Previdência_(série)'!$K150,'Previdência_(série)'!$K150-K149)</f>
        <v>6888488422.68</v>
      </c>
      <c r="M150" s="5">
        <f>SUMIFS('Previdência_(série)'!$L$2:$L$166,'Previdência_(série)'!$A$2:$A$166,"&gt;"&amp;EDATE('Previdência_(série)'!$A150,-12),'Previdência_(série)'!$A$2:$A$166,"&lt;"&amp;EDATE(A150,1))</f>
        <v>87189215706.52</v>
      </c>
      <c r="N150" s="5">
        <v>2157190614.96</v>
      </c>
      <c r="O150" s="5">
        <f>IF(MONTH('Previdência_(série)'!$A150)=1,'Previdência_(série)'!$N150,'Previdência_(série)'!$N150-N149)</f>
        <v>598358973.82</v>
      </c>
      <c r="P150" s="5">
        <f>SUMIFS('Previdência_(série)'!$O$2:$O$166,'Previdência_(série)'!$A$2:$A$166,"&gt;"&amp;EDATE('Previdência_(série)'!$A150,-12),'Previdência_(série)'!$A$2:$A$166,"&lt;"&amp;EDATE(A150,1))</f>
        <v>3848864684.28</v>
      </c>
      <c r="Q150" s="5">
        <v>19400563629.75</v>
      </c>
      <c r="R150" s="5">
        <f>IF(MONTH('Previdência_(série)'!$A150)=1,'Previdência_(série)'!$Q150,'Previdência_(série)'!$Q150-Q149)</f>
        <v>3881985216.4</v>
      </c>
      <c r="S150" s="5">
        <f>SUMIFS('Previdência_(série)'!$R$2:$R$166,'Previdência_(série)'!$A$2:$A$166,"&gt;"&amp;EDATE('Previdência_(série)'!$A150,-12),'Previdência_(série)'!$A$2:$A$166,"&lt;"&amp;EDATE(A150,1))</f>
        <v>50028065621.19</v>
      </c>
      <c r="T150" s="5">
        <v>179980601.89</v>
      </c>
      <c r="U150" s="5">
        <f>IF(MONTH('Previdência_(série)'!$A150)=1,'Previdência_(série)'!$T150,'Previdência_(série)'!$T150-T149)</f>
        <v>44351257.39</v>
      </c>
      <c r="V150" s="5">
        <f>SUMIFS('Previdência_(série)'!$U$2:$U$166,'Previdência_(série)'!$A$2:$A$166,"&gt;"&amp;EDATE('Previdência_(série)'!$A150,-12),'Previdência_(série)'!$A$2:$A$166,"&lt;"&amp;EDATE(A150,1))</f>
        <v>416240941.41</v>
      </c>
      <c r="W150" s="5">
        <v>2350295570.88</v>
      </c>
      <c r="X150" s="5">
        <f>IF(MONTH('Previdência_(série)'!$A150)=1,'Previdência_(série)'!$W150,'Previdência_(série)'!$W150-W149)</f>
        <v>477835352.93</v>
      </c>
      <c r="Y150" s="5">
        <f>SUMIFS('Previdência_(série)'!$X$2:$X$166,'Previdência_(série)'!$A$2:$A$166,"&gt;"&amp;EDATE('Previdência_(série)'!$A150,-12),'Previdência_(série)'!$A$2:$A$166,"&lt;"&amp;EDATE(A150,1))</f>
        <v>6009373513.52</v>
      </c>
      <c r="Z150" s="199"/>
      <c r="AA150" s="1"/>
      <c r="AB150" s="1"/>
      <c r="AC150" s="1"/>
      <c r="AD150" s="4" t="s">
        <v>590</v>
      </c>
      <c r="AE150" s="17">
        <v>43952</v>
      </c>
      <c r="AF150" s="4">
        <v>2020</v>
      </c>
    </row>
    <row ht="13.8" outlineLevel="0" r="151">
      <c r="A151" s="17">
        <v>43983</v>
      </c>
      <c r="B151" s="5">
        <v>165660772125.76</v>
      </c>
      <c r="C151" s="5">
        <f>IF(MONTH('Previdência_(série)'!$A151)=1,'Previdência_(série)'!$B151,'Previdência_(série)'!$B151-B150)</f>
        <v>21959463884.51</v>
      </c>
      <c r="D151" s="5">
        <f>SUMIFS('Previdência_(série)'!$C$2:$C$166,'Previdência_(série)'!$A$2:$A$166,"&gt;"&amp;EDATE('Previdência_(série)'!$A151,-12),'Previdência_(série)'!$A$2:$A$166,"&lt;"&amp;EDATE(A151,1))</f>
        <v>383031035944.15</v>
      </c>
      <c r="E151" s="5">
        <v>360515979562.97</v>
      </c>
      <c r="F151" s="5">
        <f>IF(MONTH('Previdência_(série)'!$A151)=1,'Previdência_(série)'!$E151,'Previdência_(série)'!$E151-E150)</f>
        <v>58256497598.7</v>
      </c>
      <c r="G151" s="5">
        <f>SUMIFS('Previdência_(série)'!$F$2:$F$166,'Previdência_(série)'!$A$2:$A$166,"&gt;"&amp;EDATE('Previdência_(série)'!$A151,-12),'Previdência_(série)'!$A$2:$A$166,"&lt;"&amp;EDATE(A151,1))</f>
        <v>696449753673.01</v>
      </c>
      <c r="H151" s="5">
        <v>17327954894.93</v>
      </c>
      <c r="I151" s="5">
        <f>IF(MONTH('Previdência_(série)'!$A151)=1,'Previdência_(série)'!$H151,'Previdência_(série)'!$H151-H150)</f>
        <v>3052902650.56</v>
      </c>
      <c r="J151" s="5">
        <f>SUMIFS('Previdência_(série)'!$I$2:$I$166,'Previdência_(série)'!$A$2:$A$166,"&gt;"&amp;EDATE('Previdência_(série)'!$A151,-12),'Previdência_(série)'!$A$2:$A$166,"&lt;"&amp;EDATE(A151,1))</f>
        <v>34769681766.69</v>
      </c>
      <c r="K151" s="5">
        <v>43942608581.78</v>
      </c>
      <c r="L151" s="5">
        <f>IF(MONTH('Previdência_(série)'!$A151)=1,'Previdência_(série)'!$K151,'Previdência_(série)'!$K151-K150)</f>
        <v>9774967988.13</v>
      </c>
      <c r="M151" s="5">
        <f>SUMIFS('Previdência_(série)'!$L$2:$L$166,'Previdência_(série)'!$A$2:$A$166,"&gt;"&amp;EDATE('Previdência_(série)'!$A151,-12),'Previdência_(série)'!$A$2:$A$166,"&lt;"&amp;EDATE(A151,1))</f>
        <v>87747200390.59</v>
      </c>
      <c r="N151" s="5">
        <v>2756496272.55</v>
      </c>
      <c r="O151" s="5">
        <f>IF(MONTH('Previdência_(série)'!$A151)=1,'Previdência_(série)'!$N151,'Previdência_(série)'!$N151-N150)</f>
        <v>599305657.59</v>
      </c>
      <c r="P151" s="5">
        <f>SUMIFS('Previdência_(série)'!$O$2:$O$166,'Previdência_(série)'!$A$2:$A$166,"&gt;"&amp;EDATE('Previdência_(série)'!$A151,-12),'Previdência_(série)'!$A$2:$A$166,"&lt;"&amp;EDATE(A151,1))</f>
        <v>4238203297.67</v>
      </c>
      <c r="Q151" s="5">
        <v>25188967451.15</v>
      </c>
      <c r="R151" s="5">
        <f>IF(MONTH('Previdência_(série)'!$A151)=1,'Previdência_(série)'!$Q151,'Previdência_(série)'!$Q151-Q150)</f>
        <v>5788403821.4</v>
      </c>
      <c r="S151" s="5">
        <f>SUMIFS('Previdência_(série)'!$R$2:$R$166,'Previdência_(série)'!$A$2:$A$166,"&gt;"&amp;EDATE('Previdência_(série)'!$A151,-12),'Previdência_(série)'!$A$2:$A$166,"&lt;"&amp;EDATE(A151,1))</f>
        <v>50137228503.32</v>
      </c>
      <c r="T151" s="5">
        <v>221986811.23</v>
      </c>
      <c r="U151" s="5">
        <f>IF(MONTH('Previdência_(série)'!$A151)=1,'Previdência_(série)'!$T151,'Previdência_(série)'!$T151-T150)</f>
        <v>42006209.34</v>
      </c>
      <c r="V151" s="5">
        <f>SUMIFS('Previdência_(série)'!$U$2:$U$166,'Previdência_(série)'!$A$2:$A$166,"&gt;"&amp;EDATE('Previdência_(série)'!$A151,-12),'Previdência_(série)'!$A$2:$A$166,"&lt;"&amp;EDATE(A151,1))</f>
        <v>443746007.45</v>
      </c>
      <c r="W151" s="5">
        <v>3140301122.62</v>
      </c>
      <c r="X151" s="5">
        <f>IF(MONTH('Previdência_(série)'!$A151)=1,'Previdência_(série)'!$W151,'Previdência_(série)'!$W151-W150)</f>
        <v>790005551.74</v>
      </c>
      <c r="Y151" s="5">
        <f>SUMIFS('Previdência_(série)'!$X$2:$X$166,'Previdência_(série)'!$A$2:$A$166,"&gt;"&amp;EDATE('Previdência_(série)'!$A151,-12),'Previdência_(série)'!$A$2:$A$166,"&lt;"&amp;EDATE(A151,1))</f>
        <v>6252812807.06</v>
      </c>
      <c r="Z151" s="199"/>
      <c r="AA151" s="1"/>
      <c r="AB151" s="1"/>
      <c r="AC151" s="1"/>
      <c r="AD151" s="4" t="s">
        <v>591</v>
      </c>
      <c r="AE151" s="17">
        <v>43983</v>
      </c>
      <c r="AF151" s="4">
        <v>2020</v>
      </c>
    </row>
    <row ht="13.8" outlineLevel="0" r="152">
      <c r="A152" s="17">
        <v>44013</v>
      </c>
      <c r="B152" s="5">
        <v>196354609008.38</v>
      </c>
      <c r="C152" s="5">
        <f>IF(MONTH('Previdência_(série)'!$A152)=1,'Previdência_(série)'!$B152,'Previdência_(série)'!$B152-B151)</f>
        <v>30693836882.62</v>
      </c>
      <c r="D152" s="5">
        <f>SUMIFS('Previdência_(série)'!$C$2:$C$166,'Previdência_(série)'!$A$2:$A$166,"&gt;"&amp;EDATE('Previdência_(série)'!$A152,-12),'Previdência_(série)'!$A$2:$A$166,"&lt;"&amp;EDATE(A152,1))</f>
        <v>381501449299</v>
      </c>
      <c r="E152" s="5">
        <v>411153385204.33</v>
      </c>
      <c r="F152" s="5">
        <f>IF(MONTH('Previdência_(série)'!$A152)=1,'Previdência_(série)'!$E152,'Previdência_(série)'!$E152-E151)</f>
        <v>50637405641.36</v>
      </c>
      <c r="G152" s="5">
        <f>SUMIFS('Previdência_(série)'!$F$2:$F$166,'Previdência_(série)'!$A$2:$A$166,"&gt;"&amp;EDATE('Previdência_(série)'!$A152,-12),'Previdência_(série)'!$A$2:$A$166,"&lt;"&amp;EDATE(A152,1))</f>
        <v>698686348619.01</v>
      </c>
      <c r="H152" s="5">
        <v>20483426061.24</v>
      </c>
      <c r="I152" s="5">
        <f>IF(MONTH('Previdência_(série)'!$A152)=1,'Previdência_(série)'!$H152,'Previdência_(série)'!$H152-H151)</f>
        <v>3155471166.31</v>
      </c>
      <c r="J152" s="5">
        <f>SUMIFS('Previdência_(série)'!$I$2:$I$166,'Previdência_(série)'!$A$2:$A$166,"&gt;"&amp;EDATE('Previdência_(série)'!$A152,-12),'Previdência_(série)'!$A$2:$A$166,"&lt;"&amp;EDATE(A152,1))</f>
        <v>35477758486.6</v>
      </c>
      <c r="K152" s="5">
        <v>50743027473.6</v>
      </c>
      <c r="L152" s="5">
        <f>IF(MONTH('Previdência_(série)'!$A152)=1,'Previdência_(série)'!$K152,'Previdência_(série)'!$K152-K151)</f>
        <v>6800418891.82</v>
      </c>
      <c r="M152" s="5">
        <f>SUMIFS('Previdência_(série)'!$L$2:$L$166,'Previdência_(série)'!$A$2:$A$166,"&gt;"&amp;EDATE('Previdência_(série)'!$A152,-12),'Previdência_(série)'!$A$2:$A$166,"&lt;"&amp;EDATE(A152,1))</f>
        <v>87958431417.55</v>
      </c>
      <c r="N152" s="5">
        <v>3373540843.91</v>
      </c>
      <c r="O152" s="5">
        <f>IF(MONTH('Previdência_(série)'!$A152)=1,'Previdência_(série)'!$N152,'Previdência_(série)'!$N152-N151)</f>
        <v>617044571.36</v>
      </c>
      <c r="P152" s="5">
        <f>SUMIFS('Previdência_(série)'!$O$2:$O$166,'Previdência_(série)'!$A$2:$A$166,"&gt;"&amp;EDATE('Previdência_(série)'!$A152,-12),'Previdência_(série)'!$A$2:$A$166,"&lt;"&amp;EDATE(A152,1))</f>
        <v>4644937617.74</v>
      </c>
      <c r="Q152" s="5">
        <v>29204025877.84</v>
      </c>
      <c r="R152" s="5">
        <f>IF(MONTH('Previdência_(série)'!$A152)=1,'Previdência_(série)'!$Q152,'Previdência_(série)'!$Q152-Q151)</f>
        <v>4015058426.69</v>
      </c>
      <c r="S152" s="5">
        <f>SUMIFS('Previdência_(série)'!$R$2:$R$166,'Previdência_(série)'!$A$2:$A$166,"&gt;"&amp;EDATE('Previdência_(série)'!$A152,-12),'Previdência_(série)'!$A$2:$A$166,"&lt;"&amp;EDATE(A152,1))</f>
        <v>50322027332.61</v>
      </c>
      <c r="T152" s="5">
        <v>290566904.76</v>
      </c>
      <c r="U152" s="5">
        <f>IF(MONTH('Previdência_(série)'!$A152)=1,'Previdência_(série)'!$T152,'Previdência_(série)'!$T152-T151)</f>
        <v>68580093.53</v>
      </c>
      <c r="V152" s="5">
        <f>SUMIFS('Previdência_(série)'!$U$2:$U$166,'Previdência_(série)'!$A$2:$A$166,"&gt;"&amp;EDATE('Previdência_(série)'!$A152,-12),'Previdência_(série)'!$A$2:$A$166,"&lt;"&amp;EDATE(A152,1))</f>
        <v>434047376.43</v>
      </c>
      <c r="W152" s="5">
        <v>3709455428.61</v>
      </c>
      <c r="X152" s="5">
        <f>IF(MONTH('Previdência_(série)'!$A152)=1,'Previdência_(série)'!$W152,'Previdência_(série)'!$W152-W151)</f>
        <v>569154305.99</v>
      </c>
      <c r="Y152" s="5">
        <f>SUMIFS('Previdência_(série)'!$X$2:$X$166,'Previdência_(série)'!$A$2:$A$166,"&gt;"&amp;EDATE('Previdência_(série)'!$A152,-12),'Previdência_(série)'!$A$2:$A$166,"&lt;"&amp;EDATE(A152,1))</f>
        <v>6322530109.93</v>
      </c>
      <c r="Z152" s="199"/>
      <c r="AA152" s="1"/>
      <c r="AB152" s="1"/>
      <c r="AC152" s="1"/>
      <c r="AD152" s="4" t="s">
        <v>592</v>
      </c>
      <c r="AE152" s="17">
        <v>44013</v>
      </c>
      <c r="AF152" s="4">
        <v>2020</v>
      </c>
    </row>
    <row ht="13.8" outlineLevel="0" r="153">
      <c r="A153" s="17">
        <v>44044</v>
      </c>
      <c r="B153" s="5">
        <v>235882571495.39</v>
      </c>
      <c r="C153" s="5">
        <f>IF(MONTH('Previdência_(série)'!$A153)=1,'Previdência_(série)'!$B153,'Previdência_(série)'!$B153-B152)</f>
        <v>39527962487.01</v>
      </c>
      <c r="D153" s="5">
        <f>SUMIFS('Previdência_(série)'!$C$2:$C$166,'Previdência_(série)'!$A$2:$A$166,"&gt;"&amp;EDATE('Previdência_(série)'!$A153,-12),'Previdência_(série)'!$A$2:$A$166,"&lt;"&amp;EDATE(A153,1))</f>
        <v>388058791269.62</v>
      </c>
      <c r="E153" s="5">
        <v>461670400134.05</v>
      </c>
      <c r="F153" s="5">
        <f>IF(MONTH('Previdência_(série)'!$A153)=1,'Previdência_(série)'!$E153,'Previdência_(série)'!$E153-E152)</f>
        <v>50517014929.72</v>
      </c>
      <c r="G153" s="5">
        <f>SUMIFS('Previdência_(série)'!$F$2:$F$166,'Previdência_(série)'!$A$2:$A$166,"&gt;"&amp;EDATE('Previdência_(série)'!$A153,-12),'Previdência_(série)'!$A$2:$A$166,"&lt;"&amp;EDATE(A153,1))</f>
        <v>677702012930.69</v>
      </c>
      <c r="H153" s="5">
        <v>23727858347.09</v>
      </c>
      <c r="I153" s="5">
        <f>IF(MONTH('Previdência_(série)'!$A153)=1,'Previdência_(série)'!$H153,'Previdência_(série)'!$H153-H152)</f>
        <v>3244432285.85</v>
      </c>
      <c r="J153" s="5">
        <f>SUMIFS('Previdência_(série)'!$I$2:$I$166,'Previdência_(série)'!$A$2:$A$166,"&gt;"&amp;EDATE('Previdência_(série)'!$A153,-12),'Previdência_(série)'!$A$2:$A$166,"&lt;"&amp;EDATE(A153,1))</f>
        <v>36158846424.2</v>
      </c>
      <c r="K153" s="5">
        <v>57485389944.88</v>
      </c>
      <c r="L153" s="5">
        <f>IF(MONTH('Previdência_(série)'!$A153)=1,'Previdência_(série)'!$K153,'Previdência_(série)'!$K153-K152)</f>
        <v>6742362471.28001</v>
      </c>
      <c r="M153" s="5">
        <f>SUMIFS('Previdência_(série)'!$L$2:$L$166,'Previdência_(série)'!$A$2:$A$166,"&gt;"&amp;EDATE('Previdência_(série)'!$A153,-12),'Previdência_(série)'!$A$2:$A$166,"&lt;"&amp;EDATE(A153,1))</f>
        <v>88035903165.49</v>
      </c>
      <c r="N153" s="5">
        <v>4000770389.15</v>
      </c>
      <c r="O153" s="5">
        <f>IF(MONTH('Previdência_(série)'!$A153)=1,'Previdência_(série)'!$N153,'Previdência_(série)'!$N153-N152)</f>
        <v>627229545.24</v>
      </c>
      <c r="P153" s="5">
        <f>SUMIFS('Previdência_(série)'!$O$2:$O$166,'Previdência_(série)'!$A$2:$A$166,"&gt;"&amp;EDATE('Previdência_(série)'!$A153,-12),'Previdência_(série)'!$A$2:$A$166,"&lt;"&amp;EDATE(A153,1))</f>
        <v>5063304893.02</v>
      </c>
      <c r="Q153" s="5">
        <v>33249423152</v>
      </c>
      <c r="R153" s="5">
        <f>IF(MONTH('Previdência_(série)'!$A153)=1,'Previdência_(série)'!$Q153,'Previdência_(série)'!$Q153-Q152)</f>
        <v>4045397274.16</v>
      </c>
      <c r="S153" s="5">
        <f>SUMIFS('Previdência_(série)'!$R$2:$R$166,'Previdência_(série)'!$A$2:$A$166,"&gt;"&amp;EDATE('Previdência_(série)'!$A153,-12),'Previdência_(série)'!$A$2:$A$166,"&lt;"&amp;EDATE(A153,1))</f>
        <v>50538103986.16</v>
      </c>
      <c r="T153" s="5">
        <v>339390336.82</v>
      </c>
      <c r="U153" s="5">
        <f>IF(MONTH('Previdência_(série)'!$A153)=1,'Previdência_(série)'!$T153,'Previdência_(série)'!$T153-T152)</f>
        <v>48823432.06</v>
      </c>
      <c r="V153" s="5">
        <f>SUMIFS('Previdência_(série)'!$U$2:$U$166,'Previdência_(série)'!$A$2:$A$166,"&gt;"&amp;EDATE('Previdência_(série)'!$A153,-12),'Previdência_(série)'!$A$2:$A$166,"&lt;"&amp;EDATE(A153,1))</f>
        <v>457690616.79</v>
      </c>
      <c r="W153" s="5">
        <v>4278981996.1</v>
      </c>
      <c r="X153" s="5">
        <f>IF(MONTH('Previdência_(série)'!$A153)=1,'Previdência_(série)'!$W153,'Previdência_(série)'!$W153-W152)</f>
        <v>569526567.49</v>
      </c>
      <c r="Y153" s="5">
        <f>SUMIFS('Previdência_(série)'!$X$2:$X$166,'Previdência_(série)'!$A$2:$A$166,"&gt;"&amp;EDATE('Previdência_(série)'!$A153,-12),'Previdência_(série)'!$A$2:$A$166,"&lt;"&amp;EDATE(A153,1))</f>
        <v>6455051939.69</v>
      </c>
      <c r="Z153" s="199"/>
      <c r="AA153" s="1"/>
      <c r="AB153" s="1"/>
      <c r="AC153" s="1"/>
      <c r="AD153" s="4" t="s">
        <v>593</v>
      </c>
      <c r="AE153" s="17">
        <v>44044</v>
      </c>
      <c r="AF153" s="4">
        <v>2020</v>
      </c>
    </row>
    <row ht="13.8" outlineLevel="0" r="154">
      <c r="A154" s="17">
        <v>44075</v>
      </c>
      <c r="B154" s="5">
        <v>269170904249.73</v>
      </c>
      <c r="C154" s="5">
        <f>IF(MONTH('Previdência_(série)'!$A154)=1,'Previdência_(série)'!$B154,'Previdência_(série)'!$B154-B153)</f>
        <v>33288332754.34</v>
      </c>
      <c r="D154" s="5">
        <f>SUMIFS('Previdência_(série)'!$C$2:$C$166,'Previdência_(série)'!$A$2:$A$166,"&gt;"&amp;EDATE('Previdência_(série)'!$A154,-12),'Previdência_(série)'!$A$2:$A$166,"&lt;"&amp;EDATE(A154,1))</f>
        <v>388715902664.9</v>
      </c>
      <c r="E154" s="5">
        <v>512480548247.48</v>
      </c>
      <c r="F154" s="5">
        <f>IF(MONTH('Previdência_(série)'!$A154)=1,'Previdência_(série)'!$E154,'Previdência_(série)'!$E154-E153)</f>
        <v>50810148113.4301</v>
      </c>
      <c r="G154" s="5">
        <f>SUMIFS('Previdência_(série)'!$F$2:$F$166,'Previdência_(série)'!$A$2:$A$166,"&gt;"&amp;EDATE('Previdência_(série)'!$A154,-12),'Previdência_(série)'!$A$2:$A$166,"&lt;"&amp;EDATE(A154,1))</f>
        <v>680092325153.99</v>
      </c>
      <c r="H154" s="5">
        <v>26922003347.3</v>
      </c>
      <c r="I154" s="5">
        <f>IF(MONTH('Previdência_(série)'!$A154)=1,'Previdência_(série)'!$H154,'Previdência_(série)'!$H154-H153)</f>
        <v>3194145000.21</v>
      </c>
      <c r="J154" s="5">
        <f>SUMIFS('Previdência_(série)'!$I$2:$I$166,'Previdência_(série)'!$A$2:$A$166,"&gt;"&amp;EDATE('Previdência_(série)'!$A154,-12),'Previdência_(série)'!$A$2:$A$166,"&lt;"&amp;EDATE(A154,1))</f>
        <v>36835542760.7</v>
      </c>
      <c r="K154" s="5">
        <v>64207127714.45</v>
      </c>
      <c r="L154" s="5">
        <f>IF(MONTH('Previdência_(série)'!$A154)=1,'Previdência_(série)'!$K154,'Previdência_(série)'!$K154-K153)</f>
        <v>6721737769.57</v>
      </c>
      <c r="M154" s="5">
        <f>SUMIFS('Previdência_(série)'!$L$2:$L$166,'Previdência_(série)'!$A$2:$A$166,"&gt;"&amp;EDATE('Previdência_(série)'!$A154,-12),'Previdência_(série)'!$A$2:$A$166,"&lt;"&amp;EDATE(A154,1))</f>
        <v>88089523894.88</v>
      </c>
      <c r="N154" s="5">
        <v>4629374652.94</v>
      </c>
      <c r="O154" s="5">
        <f>IF(MONTH('Previdência_(série)'!$A154)=1,'Previdência_(série)'!$N154,'Previdência_(série)'!$N154-N153)</f>
        <v>628604263.789999</v>
      </c>
      <c r="P154" s="5">
        <f>SUMIFS('Previdência_(série)'!$O$2:$O$166,'Previdência_(série)'!$A$2:$A$166,"&gt;"&amp;EDATE('Previdência_(série)'!$A154,-12),'Previdência_(série)'!$A$2:$A$166,"&lt;"&amp;EDATE(A154,1))</f>
        <v>5483647516.69</v>
      </c>
      <c r="Q154" s="5">
        <v>37304470735.6</v>
      </c>
      <c r="R154" s="5">
        <f>IF(MONTH('Previdência_(série)'!$A154)=1,'Previdência_(série)'!$Q154,'Previdência_(série)'!$Q154-Q153)</f>
        <v>4055047583.6</v>
      </c>
      <c r="S154" s="5">
        <f>SUMIFS('Previdência_(série)'!$R$2:$R$166,'Previdência_(série)'!$A$2:$A$166,"&gt;"&amp;EDATE('Previdência_(série)'!$A154,-12),'Previdência_(série)'!$A$2:$A$166,"&lt;"&amp;EDATE(A154,1))</f>
        <v>50743183912.98</v>
      </c>
      <c r="T154" s="5">
        <v>388310563.92</v>
      </c>
      <c r="U154" s="5">
        <f>IF(MONTH('Previdência_(série)'!$A154)=1,'Previdência_(série)'!$T154,'Previdência_(série)'!$T154-T153)</f>
        <v>48920227.1</v>
      </c>
      <c r="V154" s="5">
        <f>SUMIFS('Previdência_(série)'!$U$2:$U$166,'Previdência_(série)'!$A$2:$A$166,"&gt;"&amp;EDATE('Previdência_(série)'!$A154,-12),'Previdência_(série)'!$A$2:$A$166,"&lt;"&amp;EDATE(A154,1))</f>
        <v>481349158.03</v>
      </c>
      <c r="W154" s="5">
        <v>4845678878.2</v>
      </c>
      <c r="X154" s="5">
        <f>IF(MONTH('Previdência_(série)'!$A154)=1,'Previdência_(série)'!$W154,'Previdência_(série)'!$W154-W153)</f>
        <v>566696882.1</v>
      </c>
      <c r="Y154" s="5">
        <f>SUMIFS('Previdência_(série)'!$X$2:$X$166,'Previdência_(série)'!$A$2:$A$166,"&gt;"&amp;EDATE('Previdência_(série)'!$A154,-12),'Previdência_(série)'!$A$2:$A$166,"&lt;"&amp;EDATE(A154,1))</f>
        <v>6516062037.02</v>
      </c>
      <c r="Z154" s="199"/>
      <c r="AA154" s="1"/>
      <c r="AB154" s="1"/>
      <c r="AC154" s="1"/>
      <c r="AD154" s="4" t="s">
        <v>594</v>
      </c>
      <c r="AE154" s="17">
        <v>44075</v>
      </c>
      <c r="AF154" s="4">
        <v>2020</v>
      </c>
    </row>
    <row ht="13.8" outlineLevel="0" r="155">
      <c r="A155" s="17">
        <v>44105</v>
      </c>
      <c r="B155" s="5">
        <v>310636499358.59</v>
      </c>
      <c r="C155" s="5">
        <f>IF(MONTH('Previdência_(série)'!$A155)=1,'Previdência_(série)'!$B155,'Previdência_(série)'!$B155-B154)</f>
        <v>41465595108.86</v>
      </c>
      <c r="D155" s="5">
        <f>SUMIFS('Previdência_(série)'!$C$2:$C$166,'Previdência_(série)'!$A$2:$A$166,"&gt;"&amp;EDATE('Previdência_(série)'!$A155,-12),'Previdência_(série)'!$A$2:$A$166,"&lt;"&amp;EDATE(A155,1))</f>
        <v>396281868937.76</v>
      </c>
      <c r="E155" s="5">
        <v>563334716362.75</v>
      </c>
      <c r="F155" s="5">
        <f>IF(MONTH('Previdência_(série)'!$A155)=1,'Previdência_(série)'!$E155,'Previdência_(série)'!$E155-E154)</f>
        <v>50854168115.27</v>
      </c>
      <c r="G155" s="5">
        <f>SUMIFS('Previdência_(série)'!$F$2:$F$166,'Previdência_(série)'!$A$2:$A$166,"&gt;"&amp;EDATE('Previdência_(série)'!$A155,-12),'Previdência_(série)'!$A$2:$A$166,"&lt;"&amp;EDATE(A155,1))</f>
        <v>682279887671.91</v>
      </c>
      <c r="H155" s="5">
        <v>30094097390.54</v>
      </c>
      <c r="I155" s="5">
        <f>IF(MONTH('Previdência_(série)'!$A155)=1,'Previdência_(série)'!$H155,'Previdência_(série)'!$H155-H154)</f>
        <v>3172094043.24</v>
      </c>
      <c r="J155" s="5">
        <f>SUMIFS('Previdência_(série)'!$I$2:$I$166,'Previdência_(série)'!$A$2:$A$166,"&gt;"&amp;EDATE('Previdência_(série)'!$A155,-12),'Previdência_(série)'!$A$2:$A$166,"&lt;"&amp;EDATE(A155,1))</f>
        <v>37546610320.73</v>
      </c>
      <c r="K155" s="5">
        <v>71037615530.61</v>
      </c>
      <c r="L155" s="5">
        <f>IF(MONTH('Previdência_(série)'!$A155)=1,'Previdência_(série)'!$K155,'Previdência_(série)'!$K155-K154)</f>
        <v>6830487816.16</v>
      </c>
      <c r="M155" s="5">
        <f>SUMIFS('Previdência_(série)'!$L$2:$L$166,'Previdência_(série)'!$A$2:$A$166,"&gt;"&amp;EDATE('Previdência_(série)'!$A155,-12),'Previdência_(série)'!$A$2:$A$166,"&lt;"&amp;EDATE(A155,1))</f>
        <v>88210227990.32</v>
      </c>
      <c r="N155" s="5">
        <v>5257779028.85</v>
      </c>
      <c r="O155" s="5">
        <f>IF(MONTH('Previdência_(série)'!$A155)=1,'Previdência_(série)'!$N155,'Previdência_(série)'!$N155-N154)</f>
        <v>628404375.910001</v>
      </c>
      <c r="P155" s="5">
        <f>SUMIFS('Previdência_(série)'!$O$2:$O$166,'Previdência_(série)'!$A$2:$A$166,"&gt;"&amp;EDATE('Previdência_(série)'!$A155,-12),'Previdência_(série)'!$A$2:$A$166,"&lt;"&amp;EDATE(A155,1))</f>
        <v>5904104653.57</v>
      </c>
      <c r="Q155" s="5">
        <v>41376376417.21</v>
      </c>
      <c r="R155" s="5">
        <f>IF(MONTH('Previdência_(série)'!$A155)=1,'Previdência_(série)'!$Q155,'Previdência_(série)'!$Q155-Q154)</f>
        <v>4071905681.61</v>
      </c>
      <c r="S155" s="5">
        <f>SUMIFS('Previdência_(série)'!$R$2:$R$166,'Previdência_(série)'!$A$2:$A$166,"&gt;"&amp;EDATE('Previdência_(série)'!$A155,-12),'Previdência_(série)'!$A$2:$A$166,"&lt;"&amp;EDATE(A155,1))</f>
        <v>50965401874.2</v>
      </c>
      <c r="T155" s="5">
        <v>437422665.21</v>
      </c>
      <c r="U155" s="5">
        <f>IF(MONTH('Previdência_(série)'!$A155)=1,'Previdência_(série)'!$T155,'Previdência_(série)'!$T155-T154)</f>
        <v>49112101.29</v>
      </c>
      <c r="V155" s="5">
        <f>SUMIFS('Previdência_(série)'!$U$2:$U$166,'Previdência_(série)'!$A$2:$A$166,"&gt;"&amp;EDATE('Previdência_(série)'!$A155,-12),'Previdência_(série)'!$A$2:$A$166,"&lt;"&amp;EDATE(A155,1))</f>
        <v>505088038.25</v>
      </c>
      <c r="W155" s="5">
        <v>5407845537.95</v>
      </c>
      <c r="X155" s="5">
        <f>IF(MONTH('Previdência_(série)'!$A155)=1,'Previdência_(série)'!$W155,'Previdência_(série)'!$W155-W154)</f>
        <v>562166659.75</v>
      </c>
      <c r="Y155" s="5">
        <f>SUMIFS('Previdência_(série)'!$X$2:$X$166,'Previdência_(série)'!$A$2:$A$166,"&gt;"&amp;EDATE('Previdência_(série)'!$A155,-12),'Previdência_(série)'!$A$2:$A$166,"&lt;"&amp;EDATE(A155,1))</f>
        <v>6402493331.07</v>
      </c>
      <c r="Z155" s="199"/>
      <c r="AA155" s="1"/>
      <c r="AB155" s="1"/>
      <c r="AC155" s="1"/>
      <c r="AD155" s="4" t="s">
        <v>595</v>
      </c>
      <c r="AE155" s="17">
        <v>44105</v>
      </c>
      <c r="AF155" s="4">
        <v>2020</v>
      </c>
    </row>
    <row ht="13.8" outlineLevel="0" r="156">
      <c r="A156" s="17">
        <v>44136</v>
      </c>
      <c r="B156" s="5">
        <v>350277585179.4</v>
      </c>
      <c r="C156" s="5">
        <f>IF(MONTH('Previdência_(série)'!$A156)=1,'Previdência_(série)'!$B156,'Previdência_(série)'!$B156-B155)</f>
        <v>39641085820.81</v>
      </c>
      <c r="D156" s="5">
        <f>SUMIFS('Previdência_(série)'!$C$2:$C$166,'Previdência_(série)'!$A$2:$A$166,"&gt;"&amp;EDATE('Previdência_(série)'!$A156,-12),'Previdência_(série)'!$A$2:$A$166,"&lt;"&amp;EDATE(A156,1))</f>
        <v>403364761630.83</v>
      </c>
      <c r="E156" s="5">
        <v>615571184887.88</v>
      </c>
      <c r="F156" s="5">
        <f>IF(MONTH('Previdência_(série)'!$A156)=1,'Previdência_(série)'!$E156,'Previdência_(série)'!$E156-E155)</f>
        <v>52236468525.13</v>
      </c>
      <c r="G156" s="5">
        <f>SUMIFS('Previdência_(série)'!$F$2:$F$166,'Previdência_(série)'!$A$2:$A$166,"&gt;"&amp;EDATE('Previdência_(série)'!$A156,-12),'Previdência_(série)'!$A$2:$A$166,"&lt;"&amp;EDATE(A156,1))</f>
        <v>662855222760.42</v>
      </c>
      <c r="H156" s="5">
        <v>35566226054.38</v>
      </c>
      <c r="I156" s="5">
        <f>IF(MONTH('Previdência_(série)'!$A156)=1,'Previdência_(série)'!$H156,'Previdência_(série)'!$H156-H155)</f>
        <v>5472128663.84</v>
      </c>
      <c r="J156" s="5">
        <f>SUMIFS('Previdência_(série)'!$I$2:$I$166,'Previdência_(série)'!$A$2:$A$166,"&gt;"&amp;EDATE('Previdência_(série)'!$A156,-12),'Previdência_(série)'!$A$2:$A$166,"&lt;"&amp;EDATE(A156,1))</f>
        <v>38304421329.91</v>
      </c>
      <c r="K156" s="5">
        <v>80808092434.51</v>
      </c>
      <c r="L156" s="5">
        <f>IF(MONTH('Previdência_(série)'!$A156)=1,'Previdência_(série)'!$K156,'Previdência_(série)'!$K156-K155)</f>
        <v>9770476903.89999</v>
      </c>
      <c r="M156" s="5">
        <f>SUMIFS('Previdência_(série)'!$L$2:$L$166,'Previdência_(série)'!$A$2:$A$166,"&gt;"&amp;EDATE('Previdência_(série)'!$A156,-12),'Previdência_(série)'!$A$2:$A$166,"&lt;"&amp;EDATE(A156,1))</f>
        <v>87873177180.2</v>
      </c>
      <c r="N156" s="5">
        <v>5887647353.23</v>
      </c>
      <c r="O156" s="5">
        <f>IF(MONTH('Previdência_(série)'!$A156)=1,'Previdência_(série)'!$N156,'Previdência_(série)'!$N156-N155)</f>
        <v>629868324.379999</v>
      </c>
      <c r="P156" s="5">
        <f>SUMIFS('Previdência_(série)'!$O$2:$O$166,'Previdência_(série)'!$A$2:$A$166,"&gt;"&amp;EDATE('Previdência_(série)'!$A156,-12),'Previdência_(série)'!$A$2:$A$166,"&lt;"&amp;EDATE(A156,1))</f>
        <v>6325066852.56</v>
      </c>
      <c r="Q156" s="5">
        <v>47473558713.95</v>
      </c>
      <c r="R156" s="5">
        <f>IF(MONTH('Previdência_(série)'!$A156)=1,'Previdência_(série)'!$Q156,'Previdência_(série)'!$Q156-Q155)</f>
        <v>6097182296.74001</v>
      </c>
      <c r="S156" s="5">
        <f>SUMIFS('Previdência_(série)'!$R$2:$R$166,'Previdência_(série)'!$A$2:$A$166,"&gt;"&amp;EDATE('Previdência_(série)'!$A156,-12),'Previdência_(série)'!$A$2:$A$166,"&lt;"&amp;EDATE(A156,1))</f>
        <v>51328386478.81</v>
      </c>
      <c r="T156" s="5">
        <v>486438815.02</v>
      </c>
      <c r="U156" s="5">
        <f>IF(MONTH('Previdência_(série)'!$A156)=1,'Previdência_(série)'!$T156,'Previdência_(série)'!$T156-T155)</f>
        <v>49016149.81</v>
      </c>
      <c r="V156" s="5">
        <f>SUMIFS('Previdência_(série)'!$U$2:$U$166,'Previdência_(série)'!$A$2:$A$166,"&gt;"&amp;EDATE('Previdência_(série)'!$A156,-12),'Previdência_(série)'!$A$2:$A$166,"&lt;"&amp;EDATE(A156,1))</f>
        <v>528675687.88</v>
      </c>
      <c r="W156" s="5">
        <v>6105687653.43</v>
      </c>
      <c r="X156" s="5">
        <f>IF(MONTH('Previdência_(série)'!$A156)=1,'Previdência_(série)'!$W156,'Previdência_(série)'!$W156-W155)</f>
        <v>697842115.48</v>
      </c>
      <c r="Y156" s="5">
        <f>SUMIFS('Previdência_(série)'!$X$2:$X$166,'Previdência_(série)'!$A$2:$A$166,"&gt;"&amp;EDATE('Previdência_(série)'!$A156,-12),'Previdência_(série)'!$A$2:$A$166,"&lt;"&amp;EDATE(A156,1))</f>
        <v>6473714029.58</v>
      </c>
      <c r="Z156" s="199"/>
      <c r="AA156" s="1"/>
      <c r="AB156" s="1"/>
      <c r="AC156" s="1"/>
      <c r="AD156" s="4" t="s">
        <v>596</v>
      </c>
      <c r="AE156" s="17">
        <v>44136</v>
      </c>
      <c r="AF156" s="4">
        <v>2020</v>
      </c>
    </row>
    <row ht="13.8" outlineLevel="0" r="157">
      <c r="A157" s="17">
        <v>44166</v>
      </c>
      <c r="B157" s="5">
        <v>406112725767.96</v>
      </c>
      <c r="C157" s="5">
        <f>IF(MONTH('Previdência_(série)'!$A157)=1,'Previdência_(série)'!$B157,'Previdência_(série)'!$B157-B156)</f>
        <v>55835140588.56</v>
      </c>
      <c r="D157" s="5">
        <f>SUMIFS('Previdência_(série)'!$C$2:$C$166,'Previdência_(série)'!$A$2:$A$166,"&gt;"&amp;EDATE('Previdência_(série)'!$A157,-12),'Previdência_(série)'!$A$2:$A$166,"&lt;"&amp;EDATE(A157,1))</f>
        <v>406112725767.96</v>
      </c>
      <c r="E157" s="5">
        <v>669706967835.82</v>
      </c>
      <c r="F157" s="5">
        <f>IF(MONTH('Previdência_(série)'!$A157)=1,'Previdência_(série)'!$E157,'Previdência_(série)'!$E157-E156)</f>
        <v>54135782947.9401</v>
      </c>
      <c r="G157" s="5">
        <f>SUMIFS('Previdência_(série)'!$F$2:$F$166,'Previdência_(série)'!$A$2:$A$166,"&gt;"&amp;EDATE('Previdência_(série)'!$A157,-12),'Previdência_(série)'!$A$2:$A$166,"&lt;"&amp;EDATE(A157,1))</f>
        <v>669706967835.82</v>
      </c>
      <c r="H157" s="5">
        <v>39435589145.78</v>
      </c>
      <c r="I157" s="5">
        <f>IF(MONTH('Previdência_(série)'!$A157)=1,'Previdência_(série)'!$H157,'Previdência_(série)'!$H157-H156)</f>
        <v>3869363091.39999</v>
      </c>
      <c r="J157" s="5">
        <f>SUMIFS('Previdência_(série)'!$I$2:$I$166,'Previdência_(série)'!$A$2:$A$166,"&gt;"&amp;EDATE('Previdência_(série)'!$A157,-12),'Previdência_(série)'!$A$2:$A$166,"&lt;"&amp;EDATE(A157,1))</f>
        <v>39435589145.78</v>
      </c>
      <c r="K157" s="5">
        <v>87990713803.17</v>
      </c>
      <c r="L157" s="5">
        <f>IF(MONTH('Previdência_(série)'!$A157)=1,'Previdência_(série)'!$K157,'Previdência_(série)'!$K157-K156)</f>
        <v>7182621368.66002</v>
      </c>
      <c r="M157" s="5">
        <f>SUMIFS('Previdência_(série)'!$L$2:$L$166,'Previdência_(série)'!$A$2:$A$166,"&gt;"&amp;EDATE('Previdência_(série)'!$A157,-12),'Previdência_(série)'!$A$2:$A$166,"&lt;"&amp;EDATE(A157,1))</f>
        <v>87990713803.17</v>
      </c>
      <c r="N157" s="5">
        <v>6651651360.28</v>
      </c>
      <c r="O157" s="5">
        <f>IF(MONTH('Previdência_(série)'!$A157)=1,'Previdência_(série)'!$N157,'Previdência_(série)'!$N157-N156)</f>
        <v>764004007.05</v>
      </c>
      <c r="P157" s="5">
        <f>SUMIFS('Previdência_(série)'!$O$2:$O$166,'Previdência_(série)'!$A$2:$A$166,"&gt;"&amp;EDATE('Previdência_(série)'!$A157,-12),'Previdência_(série)'!$A$2:$A$166,"&lt;"&amp;EDATE(A157,1))</f>
        <v>6651651360.28</v>
      </c>
      <c r="Q157" s="5">
        <v>51528124039.89</v>
      </c>
      <c r="R157" s="5">
        <f>IF(MONTH('Previdência_(série)'!$A157)=1,'Previdência_(série)'!$Q157,'Previdência_(série)'!$Q157-Q156)</f>
        <v>4054565325.93999</v>
      </c>
      <c r="S157" s="5">
        <f>SUMIFS('Previdência_(série)'!$R$2:$R$166,'Previdência_(série)'!$A$2:$A$166,"&gt;"&amp;EDATE('Previdência_(série)'!$A157,-12),'Previdência_(série)'!$A$2:$A$166,"&lt;"&amp;EDATE(A157,1))</f>
        <v>51528124039.89</v>
      </c>
      <c r="T157" s="5">
        <v>551327186.65</v>
      </c>
      <c r="U157" s="5">
        <f>IF(MONTH('Previdência_(série)'!$A157)=1,'Previdência_(série)'!$T157,'Previdência_(série)'!$T157-T156)</f>
        <v>64888371.63</v>
      </c>
      <c r="V157" s="5">
        <f>SUMIFS('Previdência_(série)'!$U$2:$U$166,'Previdência_(série)'!$A$2:$A$166,"&gt;"&amp;EDATE('Previdência_(série)'!$A157,-12),'Previdência_(série)'!$A$2:$A$166,"&lt;"&amp;EDATE(A157,1))</f>
        <v>551327186.65</v>
      </c>
      <c r="W157" s="5">
        <v>6526770137.38</v>
      </c>
      <c r="X157" s="5">
        <f>IF(MONTH('Previdência_(série)'!$A157)=1,'Previdência_(série)'!$W157,'Previdência_(série)'!$W157-W156)</f>
        <v>421082483.950001</v>
      </c>
      <c r="Y157" s="5">
        <f>SUMIFS('Previdência_(série)'!$X$2:$X$166,'Previdência_(série)'!$A$2:$A$166,"&gt;"&amp;EDATE('Previdência_(série)'!$A157,-12),'Previdência_(série)'!$A$2:$A$166,"&lt;"&amp;EDATE(A157,1))</f>
        <v>6526770137.38</v>
      </c>
      <c r="Z157" s="199"/>
      <c r="AA157" s="1"/>
      <c r="AB157" s="1"/>
      <c r="AC157" s="1"/>
      <c r="AD157" s="4" t="s">
        <v>597</v>
      </c>
      <c r="AE157" s="17">
        <v>44166</v>
      </c>
      <c r="AF157" s="4">
        <v>2020</v>
      </c>
    </row>
    <row ht="13.8" outlineLevel="0" r="158">
      <c r="A158" s="17">
        <v>44197</v>
      </c>
      <c r="B158" s="5">
        <v>34486448955.45</v>
      </c>
      <c r="C158" s="5">
        <f>IF(MONTH('Previdência_(série)'!$A158)=1,'Previdência_(série)'!$B158,'Previdência_(série)'!$B158-B157)</f>
        <v>34486448955.45</v>
      </c>
      <c r="D158" s="5">
        <f>SUMIFS('Previdência_(série)'!$C$2:$C$166,'Previdência_(série)'!$A$2:$A$166,"&gt;"&amp;EDATE('Previdência_(série)'!$A158,-12),'Previdência_(série)'!$A$2:$A$166,"&lt;"&amp;EDATE(A158,1))</f>
        <v>405941582577.18</v>
      </c>
      <c r="E158" s="5">
        <v>52326856110.13</v>
      </c>
      <c r="F158" s="5">
        <f>IF(MONTH('Previdência_(série)'!$A158)=1,'Previdência_(série)'!$E158,'Previdência_(série)'!$E158-E157)</f>
        <v>52326856110.13</v>
      </c>
      <c r="G158" s="5">
        <f>SUMIFS('Previdência_(série)'!$F$2:$F$166,'Previdência_(série)'!$A$2:$A$166,"&gt;"&amp;EDATE('Previdência_(série)'!$A158,-12),'Previdência_(série)'!$A$2:$A$166,"&lt;"&amp;EDATE(A158,1))</f>
        <v>670565906693.53</v>
      </c>
      <c r="H158" s="5">
        <v>3080526772.4</v>
      </c>
      <c r="I158" s="5">
        <f>IF(MONTH('Previdência_(série)'!$A158)=1,'Previdência_(série)'!$H158,'Previdência_(série)'!$H158-H157)</f>
        <v>3080526772.4</v>
      </c>
      <c r="J158" s="5">
        <f>SUMIFS('Previdência_(série)'!$I$2:$I$166,'Previdência_(série)'!$A$2:$A$166,"&gt;"&amp;EDATE('Previdência_(série)'!$A158,-12),'Previdência_(série)'!$A$2:$A$166,"&lt;"&amp;EDATE(A158,1))</f>
        <v>39973721315.48</v>
      </c>
      <c r="K158" s="5">
        <v>7133846816.27</v>
      </c>
      <c r="L158" s="5">
        <f>IF(MONTH('Previdência_(série)'!$A158)=1,'Previdência_(série)'!$K158,'Previdência_(série)'!$K158-K157)</f>
        <v>7133846816.27</v>
      </c>
      <c r="M158" s="5">
        <f>SUMIFS('Previdência_(série)'!$L$2:$L$166,'Previdência_(série)'!$A$2:$A$166,"&gt;"&amp;EDATE('Previdência_(série)'!$A158,-12),'Previdência_(série)'!$A$2:$A$166,"&lt;"&amp;EDATE(A158,1))</f>
        <v>88017080753.05</v>
      </c>
      <c r="N158" s="5">
        <v>540756269.65</v>
      </c>
      <c r="O158" s="5">
        <f>IF(MONTH('Previdência_(série)'!$A158)=1,'Previdência_(série)'!$N158,'Previdência_(série)'!$N158-N157)</f>
        <v>540756269.65</v>
      </c>
      <c r="P158" s="5">
        <f>SUMIFS('Previdência_(série)'!$O$2:$O$166,'Previdência_(série)'!$A$2:$A$166,"&gt;"&amp;EDATE('Previdência_(série)'!$A158,-12),'Previdência_(série)'!$A$2:$A$166,"&lt;"&amp;EDATE(A158,1))</f>
        <v>6952651305.16</v>
      </c>
      <c r="Q158" s="5">
        <v>4035733707.29</v>
      </c>
      <c r="R158" s="5">
        <f>IF(MONTH('Previdência_(série)'!$A158)=1,'Previdência_(série)'!$Q158,'Previdência_(série)'!$Q158-Q157)</f>
        <v>4035733707.29</v>
      </c>
      <c r="S158" s="5">
        <f>SUMIFS('Previdência_(série)'!$R$2:$R$166,'Previdência_(série)'!$A$2:$A$166,"&gt;"&amp;EDATE('Previdência_(série)'!$A158,-12),'Previdência_(série)'!$A$2:$A$166,"&lt;"&amp;EDATE(A158,1))</f>
        <v>51691679721.66</v>
      </c>
      <c r="T158" s="5">
        <v>49019645.5</v>
      </c>
      <c r="U158" s="5">
        <f>IF(MONTH('Previdência_(série)'!$A158)=1,'Previdência_(série)'!$T158,'Previdência_(série)'!$T158-T157)</f>
        <v>49019645.5</v>
      </c>
      <c r="V158" s="5">
        <f>SUMIFS('Previdência_(série)'!$U$2:$U$166,'Previdência_(série)'!$A$2:$A$166,"&gt;"&amp;EDATE('Previdência_(série)'!$A158,-12),'Previdência_(série)'!$A$2:$A$166,"&lt;"&amp;EDATE(A158,1))</f>
        <v>568629375.83</v>
      </c>
      <c r="W158" s="5">
        <v>443353072.42</v>
      </c>
      <c r="X158" s="5">
        <f>IF(MONTH('Previdência_(série)'!$A158)=1,'Previdência_(série)'!$W158,'Previdência_(série)'!$W158-W157)</f>
        <v>443353072.42</v>
      </c>
      <c r="Y158" s="5">
        <f>SUMIFS('Previdência_(série)'!$X$2:$X$166,'Previdência_(série)'!$A$2:$A$166,"&gt;"&amp;EDATE('Previdência_(série)'!$A158,-12),'Previdência_(série)'!$A$2:$A$166,"&lt;"&amp;EDATE(A158,1))</f>
        <v>6575417786.99</v>
      </c>
      <c r="Z158" s="199"/>
      <c r="AA158" s="1"/>
      <c r="AB158" s="1"/>
      <c r="AC158" s="1"/>
      <c r="AD158" s="4" t="s">
        <v>586</v>
      </c>
      <c r="AE158" s="17">
        <v>44197</v>
      </c>
      <c r="AF158" s="4">
        <v>2021</v>
      </c>
    </row>
    <row ht="13.8" outlineLevel="0" r="159">
      <c r="A159" s="17">
        <v>44228</v>
      </c>
      <c r="B159" s="5">
        <v>69788636861.3</v>
      </c>
      <c r="C159" s="5">
        <f>IF(MONTH('Previdência_(série)'!$A159)=1,'Previdência_(série)'!$B159,'Previdência_(série)'!$B159-B158)</f>
        <v>35302187905.85</v>
      </c>
      <c r="D159" s="5">
        <f>SUMIFS('Previdência_(série)'!$C$2:$C$166,'Previdência_(série)'!$A$2:$A$166,"&gt;"&amp;EDATE('Previdência_(série)'!$A159,-12),'Previdência_(série)'!$A$2:$A$166,"&lt;"&amp;EDATE(A159,1))</f>
        <v>408019025203.65</v>
      </c>
      <c r="E159" s="5">
        <v>105716782113.7</v>
      </c>
      <c r="F159" s="5">
        <f>IF(MONTH('Previdência_(série)'!$A159)=1,'Previdência_(série)'!$E159,'Previdência_(série)'!$E159-E158)</f>
        <v>53389926003.57</v>
      </c>
      <c r="G159" s="5">
        <f>SUMIFS('Previdência_(série)'!$F$2:$F$166,'Previdência_(série)'!$A$2:$A$166,"&gt;"&amp;EDATE('Previdência_(série)'!$A159,-12),'Previdência_(série)'!$A$2:$A$166,"&lt;"&amp;EDATE(A159,1))</f>
        <v>672916107428.53</v>
      </c>
      <c r="H159" s="5">
        <v>6159391425.2</v>
      </c>
      <c r="I159" s="5">
        <f>IF(MONTH('Previdência_(série)'!$A159)=1,'Previdência_(série)'!$H159,'Previdência_(série)'!$H159-H158)</f>
        <v>3078864652.8</v>
      </c>
      <c r="J159" s="5">
        <f>SUMIFS('Previdência_(série)'!$I$2:$I$166,'Previdência_(série)'!$A$2:$A$166,"&gt;"&amp;EDATE('Previdência_(série)'!$A159,-12),'Previdência_(série)'!$A$2:$A$166,"&lt;"&amp;EDATE(A159,1))</f>
        <v>40587862328.55</v>
      </c>
      <c r="K159" s="5">
        <v>13838326273.72</v>
      </c>
      <c r="L159" s="5">
        <f>IF(MONTH('Previdência_(série)'!$A159)=1,'Previdência_(série)'!$K159,'Previdência_(série)'!$K159-K158)</f>
        <v>6704479457.45</v>
      </c>
      <c r="M159" s="5">
        <f>SUMIFS('Previdência_(série)'!$L$2:$L$166,'Previdência_(série)'!$A$2:$A$166,"&gt;"&amp;EDATE('Previdência_(série)'!$A159,-12),'Previdência_(série)'!$A$2:$A$166,"&lt;"&amp;EDATE(A159,1))</f>
        <v>87971465582.87</v>
      </c>
      <c r="N159" s="5">
        <v>1226462210.12</v>
      </c>
      <c r="O159" s="5">
        <f>IF(MONTH('Previdência_(série)'!$A159)=1,'Previdência_(série)'!$N159,'Previdência_(série)'!$N159-N158)</f>
        <v>685705940.47</v>
      </c>
      <c r="P159" s="5">
        <f>SUMIFS('Previdência_(série)'!$O$2:$O$166,'Previdência_(série)'!$A$2:$A$166,"&gt;"&amp;EDATE('Previdência_(série)'!$A159,-12),'Previdência_(série)'!$A$2:$A$166,"&lt;"&amp;EDATE(A159,1))</f>
        <v>7322867137.43</v>
      </c>
      <c r="Q159" s="5">
        <v>8066992529.44</v>
      </c>
      <c r="R159" s="5">
        <f>IF(MONTH('Previdência_(série)'!$A159)=1,'Previdência_(série)'!$Q159,'Previdência_(série)'!$Q159-Q158)</f>
        <v>4031258822.15</v>
      </c>
      <c r="S159" s="5">
        <f>SUMIFS('Previdência_(série)'!$R$2:$R$166,'Previdência_(série)'!$A$2:$A$166,"&gt;"&amp;EDATE('Previdência_(série)'!$A159,-12),'Previdência_(série)'!$A$2:$A$166,"&lt;"&amp;EDATE(A159,1))</f>
        <v>51856759293.26</v>
      </c>
      <c r="T159" s="5">
        <v>101436257.94</v>
      </c>
      <c r="U159" s="5">
        <f>IF(MONTH('Previdência_(série)'!$A159)=1,'Previdência_(série)'!$T159,'Previdência_(série)'!$T159-T158)</f>
        <v>52416612.44</v>
      </c>
      <c r="V159" s="5">
        <f>SUMIFS('Previdência_(série)'!$U$2:$U$166,'Previdência_(série)'!$A$2:$A$166,"&gt;"&amp;EDATE('Previdência_(série)'!$A159,-12),'Previdência_(série)'!$A$2:$A$166,"&lt;"&amp;EDATE(A159,1))</f>
        <v>588901221.63</v>
      </c>
      <c r="W159" s="5">
        <v>969989599.38</v>
      </c>
      <c r="X159" s="5">
        <f>IF(MONTH('Previdência_(série)'!$A159)=1,'Previdência_(série)'!$W159,'Previdência_(série)'!$W159-W158)</f>
        <v>526636526.96</v>
      </c>
      <c r="Y159" s="5">
        <f>SUMIFS('Previdência_(série)'!$X$2:$X$166,'Previdência_(série)'!$A$2:$A$166,"&gt;"&amp;EDATE('Previdência_(série)'!$A159,-12),'Previdência_(série)'!$A$2:$A$166,"&lt;"&amp;EDATE(A159,1))</f>
        <v>6768110503.2</v>
      </c>
      <c r="Z159" s="199"/>
      <c r="AA159" s="1"/>
      <c r="AB159" s="1"/>
      <c r="AC159" s="1"/>
      <c r="AD159" s="4" t="s">
        <v>587</v>
      </c>
      <c r="AE159" s="17">
        <v>44228</v>
      </c>
      <c r="AF159" s="4">
        <v>2021</v>
      </c>
    </row>
    <row ht="13.8" outlineLevel="0" r="160">
      <c r="A160" s="17">
        <v>44256</v>
      </c>
      <c r="B160" s="5">
        <v>104665618362.68</v>
      </c>
      <c r="C160" s="5">
        <f>IF(MONTH('Previdência_(série)'!$A160)=1,'Previdência_(série)'!$B160,'Previdência_(série)'!$B160-B159)</f>
        <v>34876981501.38</v>
      </c>
      <c r="D160" s="5">
        <f>SUMIFS('Previdência_(série)'!$C$2:$C$166,'Previdência_(série)'!$A$2:$A$166,"&gt;"&amp;EDATE('Previdência_(série)'!$A160,-12),'Previdência_(série)'!$A$2:$A$166,"&lt;"&amp;EDATE(A160,1))</f>
        <v>410985867597.27</v>
      </c>
      <c r="E160" s="5">
        <v>160285477642.74</v>
      </c>
      <c r="F160" s="5">
        <f>IF(MONTH('Previdência_(série)'!$A160)=1,'Previdência_(série)'!$E160,'Previdência_(série)'!$E160-E159)</f>
        <v>54568695529.04</v>
      </c>
      <c r="G160" s="5">
        <f>SUMIFS('Previdência_(série)'!$F$2:$F$166,'Previdência_(série)'!$A$2:$A$166,"&gt;"&amp;EDATE('Previdência_(série)'!$A160,-12),'Previdência_(série)'!$A$2:$A$166,"&lt;"&amp;EDATE(A160,1))</f>
        <v>677060954161.38</v>
      </c>
      <c r="H160" s="5">
        <v>9244476857.45</v>
      </c>
      <c r="I160" s="5">
        <f>IF(MONTH('Previdência_(série)'!$A160)=1,'Previdência_(série)'!$H160,'Previdência_(série)'!$H160-H159)</f>
        <v>3085085432.25</v>
      </c>
      <c r="J160" s="5">
        <f>SUMIFS('Previdência_(série)'!$I$2:$I$166,'Previdência_(série)'!$A$2:$A$166,"&gt;"&amp;EDATE('Previdência_(série)'!$A160,-12),'Previdência_(série)'!$A$2:$A$166,"&lt;"&amp;EDATE(A160,1))</f>
        <v>40551389524.55</v>
      </c>
      <c r="K160" s="5">
        <v>20553668477.09</v>
      </c>
      <c r="L160" s="5">
        <f>IF(MONTH('Previdência_(série)'!$A160)=1,'Previdência_(série)'!$K160,'Previdência_(série)'!$K160-K159)</f>
        <v>6715342203.37</v>
      </c>
      <c r="M160" s="5">
        <f>SUMIFS('Previdência_(série)'!$L$2:$L$166,'Previdência_(série)'!$A$2:$A$166,"&gt;"&amp;EDATE('Previdência_(série)'!$A160,-12),'Previdência_(série)'!$A$2:$A$166,"&lt;"&amp;EDATE(A160,1))</f>
        <v>88010464261.02</v>
      </c>
      <c r="N160" s="5">
        <v>1917204925.27</v>
      </c>
      <c r="O160" s="5">
        <f>IF(MONTH('Previdência_(série)'!$A160)=1,'Previdência_(série)'!$N160,'Previdência_(série)'!$N160-N159)</f>
        <v>690742715.15</v>
      </c>
      <c r="P160" s="5">
        <f>SUMIFS('Previdência_(série)'!$O$2:$O$166,'Previdência_(série)'!$A$2:$A$166,"&gt;"&amp;EDATE('Previdência_(série)'!$A160,-12),'Previdência_(série)'!$A$2:$A$166,"&lt;"&amp;EDATE(A160,1))</f>
        <v>7583361057.84</v>
      </c>
      <c r="Q160" s="5">
        <v>12107839928.43</v>
      </c>
      <c r="R160" s="5">
        <f>IF(MONTH('Previdência_(série)'!$A160)=1,'Previdência_(série)'!$Q160,'Previdência_(série)'!$Q160-Q159)</f>
        <v>4040847398.99</v>
      </c>
      <c r="S160" s="5">
        <f>SUMIFS('Previdência_(série)'!$R$2:$R$166,'Previdência_(série)'!$A$2:$A$166,"&gt;"&amp;EDATE('Previdência_(série)'!$A160,-12),'Previdência_(série)'!$A$2:$A$166,"&lt;"&amp;EDATE(A160,1))</f>
        <v>52014464298.34</v>
      </c>
      <c r="T160" s="5">
        <v>153690952.13</v>
      </c>
      <c r="U160" s="5">
        <f>IF(MONTH('Previdência_(série)'!$A160)=1,'Previdência_(série)'!$T160,'Previdência_(série)'!$T160-T159)</f>
        <v>52254694.19</v>
      </c>
      <c r="V160" s="5">
        <f>SUMIFS('Previdência_(série)'!$U$2:$U$166,'Previdência_(série)'!$A$2:$A$166,"&gt;"&amp;EDATE('Previdência_(série)'!$A160,-12),'Previdência_(série)'!$A$2:$A$166,"&lt;"&amp;EDATE(A160,1))</f>
        <v>609051987.34</v>
      </c>
      <c r="W160" s="5">
        <v>1480189881.12</v>
      </c>
      <c r="X160" s="5">
        <f>IF(MONTH('Previdência_(série)'!$A160)=1,'Previdência_(série)'!$W160,'Previdência_(série)'!$W160-W159)</f>
        <v>510200281.74</v>
      </c>
      <c r="Y160" s="5">
        <f>SUMIFS('Previdência_(série)'!$X$2:$X$166,'Previdência_(série)'!$A$2:$A$166,"&gt;"&amp;EDATE('Previdência_(série)'!$A160,-12),'Previdência_(série)'!$A$2:$A$166,"&lt;"&amp;EDATE(A160,1))</f>
        <v>6594370250.88</v>
      </c>
      <c r="Z160" s="199"/>
      <c r="AA160" s="1"/>
      <c r="AB160" s="1"/>
      <c r="AC160" s="1"/>
      <c r="AD160" s="4" t="s">
        <v>588</v>
      </c>
      <c r="AE160" s="17">
        <v>44256</v>
      </c>
      <c r="AF160" s="4">
        <v>2021</v>
      </c>
    </row>
    <row ht="13.8" outlineLevel="0" r="161">
      <c r="A161" s="17">
        <v>44287</v>
      </c>
      <c r="B161" s="5">
        <v>139825484856.57</v>
      </c>
      <c r="C161" s="5">
        <f>IF(MONTH('Previdência_(série)'!$A161)=1,'Previdência_(série)'!$B161,'Previdência_(série)'!$B161-B160)</f>
        <v>35159866493.89</v>
      </c>
      <c r="D161" s="5">
        <f>SUMIFS('Previdência_(série)'!$C$2:$C$166,'Previdência_(série)'!$A$2:$A$166,"&gt;"&amp;EDATE('Previdência_(série)'!$A161,-12),'Previdência_(série)'!$A$2:$A$166,"&lt;"&amp;EDATE(A161,1))</f>
        <v>423185749480.7</v>
      </c>
      <c r="E161" s="5">
        <v>214481663027.01</v>
      </c>
      <c r="F161" s="5">
        <f>IF(MONTH('Previdência_(série)'!$A161)=1,'Previdência_(série)'!$E161,'Previdência_(série)'!$E161-E160)</f>
        <v>54196185384.27</v>
      </c>
      <c r="G161" s="5">
        <f>SUMIFS('Previdência_(série)'!$F$2:$F$166,'Previdência_(série)'!$A$2:$A$166,"&gt;"&amp;EDATE('Previdência_(série)'!$A161,-12),'Previdência_(série)'!$A$2:$A$166,"&lt;"&amp;EDATE(A161,1))</f>
        <v>656288932864.85</v>
      </c>
      <c r="H161" s="5">
        <v>12329375121.97</v>
      </c>
      <c r="I161" s="5">
        <f>IF(MONTH('Previdência_(série)'!$A161)=1,'Previdência_(série)'!$H161,'Previdência_(série)'!$H161-H160)</f>
        <v>3084898264.52</v>
      </c>
      <c r="J161" s="5">
        <f>SUMIFS('Previdência_(série)'!$I$2:$I$166,'Previdência_(série)'!$A$2:$A$166,"&gt;"&amp;EDATE('Previdência_(série)'!$A161,-12),'Previdência_(série)'!$A$2:$A$166,"&lt;"&amp;EDATE(A161,1))</f>
        <v>40551884941</v>
      </c>
      <c r="K161" s="5">
        <v>27327767443.91</v>
      </c>
      <c r="L161" s="5">
        <f>IF(MONTH('Previdência_(série)'!$A161)=1,'Previdência_(série)'!$K161,'Previdência_(série)'!$K161-K160)</f>
        <v>6774098966.82</v>
      </c>
      <c r="M161" s="5">
        <f>SUMIFS('Previdência_(série)'!$L$2:$L$166,'Previdência_(série)'!$A$2:$A$166,"&gt;"&amp;EDATE('Previdência_(série)'!$A161,-12),'Previdência_(série)'!$A$2:$A$166,"&lt;"&amp;EDATE(A161,1))</f>
        <v>88039329076.11</v>
      </c>
      <c r="N161" s="5">
        <v>2587720182.64</v>
      </c>
      <c r="O161" s="5">
        <f>IF(MONTH('Previdência_(série)'!$A161)=1,'Previdência_(série)'!$N161,'Previdência_(série)'!$N161-N160)</f>
        <v>670515257.37</v>
      </c>
      <c r="P161" s="5">
        <f>SUMIFS('Previdência_(série)'!$O$2:$O$166,'Previdência_(série)'!$A$2:$A$166,"&gt;"&amp;EDATE('Previdência_(série)'!$A161,-12),'Previdência_(série)'!$A$2:$A$166,"&lt;"&amp;EDATE(A161,1))</f>
        <v>7680539901.78</v>
      </c>
      <c r="Q161" s="5">
        <v>16224292442.44</v>
      </c>
      <c r="R161" s="5">
        <f>IF(MONTH('Previdência_(série)'!$A161)=1,'Previdência_(série)'!$Q161,'Previdência_(série)'!$Q161-Q160)</f>
        <v>4116452514.01</v>
      </c>
      <c r="S161" s="5">
        <f>SUMIFS('Previdência_(série)'!$R$2:$R$166,'Previdência_(série)'!$A$2:$A$166,"&gt;"&amp;EDATE('Previdência_(série)'!$A161,-12),'Previdência_(série)'!$A$2:$A$166,"&lt;"&amp;EDATE(A161,1))</f>
        <v>52233838068.98</v>
      </c>
      <c r="T161" s="5">
        <v>206090670.28</v>
      </c>
      <c r="U161" s="5">
        <f>IF(MONTH('Previdência_(série)'!$A161)=1,'Previdência_(série)'!$T161,'Previdência_(série)'!$T161-T160)</f>
        <v>52399718.15</v>
      </c>
      <c r="V161" s="5">
        <f>SUMIFS('Previdência_(série)'!$U$2:$U$166,'Previdência_(série)'!$A$2:$A$166,"&gt;"&amp;EDATE('Previdência_(série)'!$A161,-12),'Previdência_(série)'!$A$2:$A$166,"&lt;"&amp;EDATE(A161,1))</f>
        <v>621788512.43</v>
      </c>
      <c r="W161" s="5">
        <v>2043994357.96</v>
      </c>
      <c r="X161" s="5">
        <f>IF(MONTH('Previdência_(série)'!$A161)=1,'Previdência_(série)'!$W161,'Previdência_(série)'!$W161-W160)</f>
        <v>563804476.84</v>
      </c>
      <c r="Y161" s="5">
        <f>SUMIFS('Previdência_(série)'!$X$2:$X$166,'Previdência_(série)'!$A$2:$A$166,"&gt;"&amp;EDATE('Previdência_(série)'!$A161,-12),'Previdência_(série)'!$A$2:$A$166,"&lt;"&amp;EDATE(A161,1))</f>
        <v>6698304277.39</v>
      </c>
      <c r="Z161" s="199"/>
      <c r="AA161" s="1"/>
      <c r="AB161" s="1"/>
      <c r="AC161" s="1"/>
      <c r="AD161" s="4" t="s">
        <v>589</v>
      </c>
      <c r="AE161" s="17">
        <v>44287</v>
      </c>
      <c r="AF161" s="4">
        <v>2021</v>
      </c>
    </row>
    <row ht="13.8" outlineLevel="0" r="162">
      <c r="A162" s="17">
        <v>44317</v>
      </c>
      <c r="B162" s="5">
        <v>173513271403.89</v>
      </c>
      <c r="C162" s="5">
        <f>IF(MONTH('Previdência_(série)'!$A162)=1,'Previdência_(série)'!$B162,'Previdência_(série)'!$B162-B161)</f>
        <v>33687786547.32</v>
      </c>
      <c r="D162" s="5">
        <f>SUMIFS('Previdência_(série)'!$C$2:$C$166,'Previdência_(série)'!$A$2:$A$166,"&gt;"&amp;EDATE('Previdência_(série)'!$A162,-12),'Previdência_(série)'!$A$2:$A$166,"&lt;"&amp;EDATE(A162,1))</f>
        <v>435924688930.6</v>
      </c>
      <c r="E162" s="5">
        <v>294846459772.16</v>
      </c>
      <c r="F162" s="5">
        <f>IF(MONTH('Previdência_(série)'!$A162)=1,'Previdência_(série)'!$E162,'Previdência_(série)'!$E162-E161)</f>
        <v>80364796745.15</v>
      </c>
      <c r="G162" s="5">
        <f>SUMIFS('Previdência_(série)'!$F$2:$F$166,'Previdência_(série)'!$A$2:$A$166,"&gt;"&amp;EDATE('Previdência_(série)'!$A162,-12),'Previdência_(série)'!$A$2:$A$166,"&lt;"&amp;EDATE(A162,1))</f>
        <v>662293945643.71</v>
      </c>
      <c r="H162" s="5">
        <v>15478744680.32</v>
      </c>
      <c r="I162" s="5">
        <f>IF(MONTH('Previdência_(série)'!$A162)=1,'Previdência_(série)'!$H162,'Previdência_(série)'!$H162-H161)</f>
        <v>3149369558.35</v>
      </c>
      <c r="J162" s="5">
        <f>SUMIFS('Previdência_(série)'!$I$2:$I$166,'Previdência_(série)'!$A$2:$A$166,"&gt;"&amp;EDATE('Previdência_(série)'!$A162,-12),'Previdência_(série)'!$A$2:$A$166,"&lt;"&amp;EDATE(A162,1))</f>
        <v>40639281581.73</v>
      </c>
      <c r="K162" s="5">
        <v>34150122555.1</v>
      </c>
      <c r="L162" s="5">
        <f>IF(MONTH('Previdência_(série)'!$A162)=1,'Previdência_(série)'!$K162,'Previdência_(série)'!$K162-K161)</f>
        <v>6822355111.19</v>
      </c>
      <c r="M162" s="5">
        <f>SUMIFS('Previdência_(série)'!$L$2:$L$166,'Previdência_(série)'!$A$2:$A$166,"&gt;"&amp;EDATE('Previdência_(série)'!$A162,-12),'Previdência_(série)'!$A$2:$A$166,"&lt;"&amp;EDATE(A162,1))</f>
        <v>87973195764.62</v>
      </c>
      <c r="N162" s="5">
        <v>3280091177.98</v>
      </c>
      <c r="O162" s="5">
        <f>IF(MONTH('Previdência_(série)'!$A162)=1,'Previdência_(série)'!$N162,'Previdência_(série)'!$N162-N161)</f>
        <v>692370995.34</v>
      </c>
      <c r="P162" s="5">
        <f>SUMIFS('Previdência_(série)'!$O$2:$O$166,'Previdência_(série)'!$A$2:$A$166,"&gt;"&amp;EDATE('Previdência_(série)'!$A162,-12),'Previdência_(série)'!$A$2:$A$166,"&lt;"&amp;EDATE(A162,1))</f>
        <v>7774551923.3</v>
      </c>
      <c r="Q162" s="5">
        <v>20319841070.52</v>
      </c>
      <c r="R162" s="5">
        <f>IF(MONTH('Previdência_(série)'!$A162)=1,'Previdência_(série)'!$Q162,'Previdência_(série)'!$Q162-Q161)</f>
        <v>4095548628.08</v>
      </c>
      <c r="S162" s="5">
        <f>SUMIFS('Previdência_(série)'!$R$2:$R$166,'Previdência_(série)'!$A$2:$A$166,"&gt;"&amp;EDATE('Previdência_(série)'!$A162,-12),'Previdência_(série)'!$A$2:$A$166,"&lt;"&amp;EDATE(A162,1))</f>
        <v>52447401480.66</v>
      </c>
      <c r="T162" s="5">
        <v>258494373.64</v>
      </c>
      <c r="U162" s="5">
        <f>IF(MONTH('Previdência_(série)'!$A162)=1,'Previdência_(série)'!$T162,'Previdência_(série)'!$T162-T161)</f>
        <v>52403703.36</v>
      </c>
      <c r="V162" s="5">
        <f>SUMIFS('Previdência_(série)'!$U$2:$U$166,'Previdência_(série)'!$A$2:$A$166,"&gt;"&amp;EDATE('Previdência_(série)'!$A162,-12),'Previdência_(série)'!$A$2:$A$166,"&lt;"&amp;EDATE(A162,1))</f>
        <v>629840958.4</v>
      </c>
      <c r="W162" s="5">
        <v>2566664985.37</v>
      </c>
      <c r="X162" s="5">
        <f>IF(MONTH('Previdência_(série)'!$A162)=1,'Previdência_(série)'!$W162,'Previdência_(série)'!$W162-W161)</f>
        <v>522670627.41</v>
      </c>
      <c r="Y162" s="5">
        <f>SUMIFS('Previdência_(série)'!$X$2:$X$166,'Previdência_(série)'!$A$2:$A$166,"&gt;"&amp;EDATE('Previdência_(série)'!$A162,-12),'Previdência_(série)'!$A$2:$A$166,"&lt;"&amp;EDATE(A162,1))</f>
        <v>6743139551.87</v>
      </c>
      <c r="Z162" s="199"/>
      <c r="AA162" s="1"/>
      <c r="AB162" s="1"/>
      <c r="AC162" s="1"/>
      <c r="AD162" s="4" t="s">
        <v>590</v>
      </c>
      <c r="AE162" s="17">
        <v>44317</v>
      </c>
      <c r="AF162" s="4">
        <v>2021</v>
      </c>
    </row>
    <row ht="13.8" outlineLevel="0" r="163">
      <c r="A163" s="17">
        <v>44348</v>
      </c>
      <c r="B163" s="5">
        <v>207694770459.71</v>
      </c>
      <c r="C163" s="5">
        <f>IF(MONTH('Previdência_(série)'!$A163)=1,'Previdência_(série)'!$B163,'Previdência_(série)'!$B163-B162)</f>
        <v>34181499055.82</v>
      </c>
      <c r="D163" s="5">
        <f>SUMIFS('Previdência_(série)'!$C$2:$C$166,'Previdência_(série)'!$A$2:$A$166,"&gt;"&amp;EDATE('Previdência_(série)'!$A163,-12),'Previdência_(série)'!$A$2:$A$166,"&lt;"&amp;EDATE(A163,1))</f>
        <v>448146724101.91</v>
      </c>
      <c r="E163" s="5">
        <v>384033068995.98</v>
      </c>
      <c r="F163" s="5">
        <f>IF(MONTH('Previdência_(série)'!$A163)=1,'Previdência_(série)'!$E163,'Previdência_(série)'!$E163-E162)</f>
        <v>89186609223.8201</v>
      </c>
      <c r="G163" s="5">
        <f>SUMIFS('Previdência_(série)'!$F$2:$F$166,'Previdência_(série)'!$A$2:$A$166,"&gt;"&amp;EDATE('Previdência_(série)'!$A163,-12),'Previdência_(série)'!$A$2:$A$166,"&lt;"&amp;EDATE(A163,1))</f>
        <v>693224057268.83</v>
      </c>
      <c r="H163" s="5">
        <v>18520298654.66</v>
      </c>
      <c r="I163" s="5">
        <f>IF(MONTH('Previdência_(série)'!$A163)=1,'Previdência_(série)'!$H163,'Previdência_(série)'!$H163-H162)</f>
        <v>3041553974.34</v>
      </c>
      <c r="J163" s="5">
        <f>SUMIFS('Previdência_(série)'!$I$2:$I$166,'Previdência_(série)'!$A$2:$A$166,"&gt;"&amp;EDATE('Previdência_(série)'!$A163,-12),'Previdência_(série)'!$A$2:$A$166,"&lt;"&amp;EDATE(A163,1))</f>
        <v>40627932905.51</v>
      </c>
      <c r="K163" s="5">
        <v>44872428950.34</v>
      </c>
      <c r="L163" s="5">
        <f>IF(MONTH('Previdência_(série)'!$A163)=1,'Previdência_(série)'!$K163,'Previdência_(série)'!$K163-K162)</f>
        <v>10722306395.24</v>
      </c>
      <c r="M163" s="5">
        <f>SUMIFS('Previdência_(série)'!$L$2:$L$166,'Previdência_(série)'!$A$2:$A$166,"&gt;"&amp;EDATE('Previdência_(série)'!$A163,-12),'Previdência_(série)'!$A$2:$A$166,"&lt;"&amp;EDATE(A163,1))</f>
        <v>88920534171.73</v>
      </c>
      <c r="N163" s="5">
        <v>3971029083.36</v>
      </c>
      <c r="O163" s="5">
        <f>IF(MONTH('Previdência_(série)'!$A163)=1,'Previdência_(série)'!$N163,'Previdência_(série)'!$N163-N162)</f>
        <v>690937905.38</v>
      </c>
      <c r="P163" s="5">
        <f>SUMIFS('Previdência_(série)'!$O$2:$O$166,'Previdência_(série)'!$A$2:$A$166,"&gt;"&amp;EDATE('Previdência_(série)'!$A163,-12),'Previdência_(série)'!$A$2:$A$166,"&lt;"&amp;EDATE(A163,1))</f>
        <v>7866184171.09</v>
      </c>
      <c r="Q163" s="5">
        <v>26424205876.66</v>
      </c>
      <c r="R163" s="5">
        <f>IF(MONTH('Previdência_(série)'!$A163)=1,'Previdência_(série)'!$Q163,'Previdência_(série)'!$Q163-Q162)</f>
        <v>6104364806.14</v>
      </c>
      <c r="S163" s="5">
        <f>SUMIFS('Previdência_(série)'!$R$2:$R$166,'Previdência_(série)'!$A$2:$A$166,"&gt;"&amp;EDATE('Previdência_(série)'!$A163,-12),'Previdência_(série)'!$A$2:$A$166,"&lt;"&amp;EDATE(A163,1))</f>
        <v>52763362465.4</v>
      </c>
      <c r="T163" s="5">
        <v>310913733.27</v>
      </c>
      <c r="U163" s="5">
        <f>IF(MONTH('Previdência_(série)'!$A163)=1,'Previdência_(série)'!$T163,'Previdência_(série)'!$T163-T162)</f>
        <v>52419359.63</v>
      </c>
      <c r="V163" s="5">
        <f>SUMIFS('Previdência_(série)'!$U$2:$U$166,'Previdência_(série)'!$A$2:$A$166,"&gt;"&amp;EDATE('Previdência_(série)'!$A163,-12),'Previdência_(série)'!$A$2:$A$166,"&lt;"&amp;EDATE(A163,1))</f>
        <v>640254108.69</v>
      </c>
      <c r="W163" s="5">
        <v>3247286366.57</v>
      </c>
      <c r="X163" s="5">
        <f>IF(MONTH('Previdência_(série)'!$A163)=1,'Previdência_(série)'!$W163,'Previdência_(série)'!$W163-W162)</f>
        <v>680621381.2</v>
      </c>
      <c r="Y163" s="5">
        <f>SUMIFS('Previdência_(série)'!$X$2:$X$166,'Previdência_(série)'!$A$2:$A$166,"&gt;"&amp;EDATE('Previdência_(série)'!$A163,-12),'Previdência_(série)'!$A$2:$A$166,"&lt;"&amp;EDATE(A163,1))</f>
        <v>6633755381.33</v>
      </c>
      <c r="Z163" s="199"/>
      <c r="AA163" s="1"/>
      <c r="AB163" s="1"/>
      <c r="AC163" s="1"/>
      <c r="AD163" s="4" t="s">
        <v>591</v>
      </c>
      <c r="AE163" s="17">
        <v>44348</v>
      </c>
      <c r="AF163" s="4">
        <v>2021</v>
      </c>
    </row>
    <row ht="13.8" outlineLevel="0" r="164">
      <c r="A164" s="17">
        <v>44378</v>
      </c>
      <c r="B164" s="5">
        <v>245337150909.52</v>
      </c>
      <c r="C164" s="5">
        <f>IF(MONTH('Previdência_(série)'!$A164)=1,'Previdência_(série)'!$B164,'Previdência_(série)'!$B164-B163)</f>
        <v>37642380449.81</v>
      </c>
      <c r="D164" s="5">
        <f>SUMIFS('Previdência_(série)'!$C$2:$C$166,'Previdência_(série)'!$A$2:$A$166,"&gt;"&amp;EDATE('Previdência_(série)'!$A164,-12),'Previdência_(série)'!$A$2:$A$166,"&lt;"&amp;EDATE(A164,1))</f>
        <v>455095267669.1</v>
      </c>
      <c r="E164" s="5">
        <v>438785919939.85</v>
      </c>
      <c r="F164" s="5">
        <f>IF(MONTH('Previdência_(série)'!$A164)=1,'Previdência_(série)'!$E164,'Previdência_(série)'!$E164-E163)</f>
        <v>54752850943.8699</v>
      </c>
      <c r="G164" s="5">
        <f>SUMIFS('Previdência_(série)'!$F$2:$F$166,'Previdência_(série)'!$A$2:$A$166,"&gt;"&amp;EDATE('Previdência_(série)'!$A164,-12),'Previdência_(série)'!$A$2:$A$166,"&lt;"&amp;EDATE(A164,1))</f>
        <v>697339502571.34</v>
      </c>
      <c r="H164" s="5">
        <v>21690384670.22</v>
      </c>
      <c r="I164" s="5">
        <f>IF(MONTH('Previdência_(série)'!$A164)=1,'Previdência_(série)'!$H164,'Previdência_(série)'!$H164-H163)</f>
        <v>3170086015.56</v>
      </c>
      <c r="J164" s="5">
        <f>SUMIFS('Previdência_(série)'!$I$2:$I$166,'Previdência_(série)'!$A$2:$A$166,"&gt;"&amp;EDATE('Previdência_(série)'!$A164,-12),'Previdência_(série)'!$A$2:$A$166,"&lt;"&amp;EDATE(A164,1))</f>
        <v>40642547754.76</v>
      </c>
      <c r="K164" s="5">
        <v>51558584424.58</v>
      </c>
      <c r="L164" s="5">
        <f>IF(MONTH('Previdência_(série)'!$A164)=1,'Previdência_(série)'!$K164,'Previdência_(série)'!$K164-K163)</f>
        <v>6686155474.24</v>
      </c>
      <c r="M164" s="5">
        <f>SUMIFS('Previdência_(série)'!$L$2:$L$166,'Previdência_(série)'!$A$2:$A$166,"&gt;"&amp;EDATE('Previdência_(série)'!$A164,-12),'Previdência_(série)'!$A$2:$A$166,"&lt;"&amp;EDATE(A164,1))</f>
        <v>88806270754.15</v>
      </c>
      <c r="N164" s="5">
        <v>4680991080.65</v>
      </c>
      <c r="O164" s="5">
        <f>IF(MONTH('Previdência_(série)'!$A164)=1,'Previdência_(série)'!$N164,'Previdência_(série)'!$N164-N163)</f>
        <v>709961997.29</v>
      </c>
      <c r="P164" s="5">
        <f>SUMIFS('Previdência_(série)'!$O$2:$O$166,'Previdência_(série)'!$A$2:$A$166,"&gt;"&amp;EDATE('Previdência_(série)'!$A164,-12),'Previdência_(série)'!$A$2:$A$166,"&lt;"&amp;EDATE(A164,1))</f>
        <v>7959101597.02</v>
      </c>
      <c r="Q164" s="5">
        <v>30684938605.13</v>
      </c>
      <c r="R164" s="5">
        <f>IF(MONTH('Previdência_(série)'!$A164)=1,'Previdência_(série)'!$Q164,'Previdência_(série)'!$Q164-Q163)</f>
        <v>4260732728.47</v>
      </c>
      <c r="S164" s="5">
        <f>SUMIFS('Previdência_(série)'!$R$2:$R$166,'Previdência_(série)'!$A$2:$A$166,"&gt;"&amp;EDATE('Previdência_(série)'!$A164,-12),'Previdência_(série)'!$A$2:$A$166,"&lt;"&amp;EDATE(A164,1))</f>
        <v>53009036767.18</v>
      </c>
      <c r="T164" s="5">
        <v>363359383.23</v>
      </c>
      <c r="U164" s="5">
        <f>IF(MONTH('Previdência_(série)'!$A164)=1,'Previdência_(série)'!$T164,'Previdência_(série)'!$T164-T163)</f>
        <v>52445649.96</v>
      </c>
      <c r="V164" s="5">
        <f>SUMIFS('Previdência_(série)'!$U$2:$U$166,'Previdência_(série)'!$A$2:$A$166,"&gt;"&amp;EDATE('Previdência_(série)'!$A164,-12),'Previdência_(série)'!$A$2:$A$166,"&lt;"&amp;EDATE(A164,1))</f>
        <v>624119665.12</v>
      </c>
      <c r="W164" s="5">
        <v>3796424588.34</v>
      </c>
      <c r="X164" s="5">
        <f>IF(MONTH('Previdência_(série)'!$A164)=1,'Previdência_(série)'!$W164,'Previdência_(série)'!$W164-W163)</f>
        <v>549138221.77</v>
      </c>
      <c r="Y164" s="5">
        <f>SUMIFS('Previdência_(série)'!$X$2:$X$166,'Previdência_(série)'!$A$2:$A$166,"&gt;"&amp;EDATE('Previdência_(série)'!$A164,-12),'Previdência_(série)'!$A$2:$A$166,"&lt;"&amp;EDATE(A164,1))</f>
        <v>6613739297.11</v>
      </c>
      <c r="Z164" s="1"/>
      <c r="AD164" s="4" t="s">
        <v>592</v>
      </c>
      <c r="AE164" s="17">
        <v>44378</v>
      </c>
      <c r="AF164" s="4">
        <v>2021</v>
      </c>
    </row>
    <row ht="13.8" outlineLevel="0" r="165">
      <c r="A165" s="17">
        <v>44409</v>
      </c>
      <c r="B165" s="5">
        <v>283217577762.67</v>
      </c>
      <c r="C165" s="5">
        <f>IF(MONTH('Previdência_(série)'!$A165)=1,'Previdência_(série)'!$B165,'Previdência_(série)'!$B165-B164)</f>
        <v>37880426853.15</v>
      </c>
      <c r="D165" s="5">
        <f>SUMIFS('Previdência_(série)'!$C$2:$C$166,'Previdência_(série)'!$A$2:$A$166,"&gt;"&amp;EDATE('Previdência_(série)'!$A165,-12),'Previdência_(série)'!$A$2:$A$166,"&lt;"&amp;EDATE(A165,1))</f>
        <v>453447732035.24</v>
      </c>
      <c r="E165" s="5">
        <v>492408530278.92</v>
      </c>
      <c r="F165" s="5">
        <f>IF(MONTH('Previdência_(série)'!$A165)=1,'Previdência_(série)'!$E165,'Previdência_(série)'!$E165-E164)</f>
        <v>53622610339.0701</v>
      </c>
      <c r="G165" s="5">
        <f>SUMIFS('Previdência_(série)'!$F$2:$F$166,'Previdência_(série)'!$A$2:$A$166,"&gt;"&amp;EDATE('Previdência_(série)'!$A165,-12),'Previdência_(série)'!$A$2:$A$166,"&lt;"&amp;EDATE(A165,1))</f>
        <v>700445097980.69</v>
      </c>
      <c r="H165" s="5">
        <v>25024855953.29</v>
      </c>
      <c r="I165" s="5">
        <f>IF(MONTH('Previdência_(série)'!$A165)=1,'Previdência_(série)'!$H165,'Previdência_(série)'!$H165-H164)</f>
        <v>3334471283.07</v>
      </c>
      <c r="J165" s="5">
        <f>SUMIFS('Previdência_(série)'!$I$2:$I$166,'Previdência_(série)'!$A$2:$A$166,"&gt;"&amp;EDATE('Previdência_(série)'!$A165,-12),'Previdência_(série)'!$A$2:$A$166,"&lt;"&amp;EDATE(A165,1))</f>
        <v>40732586751.98</v>
      </c>
      <c r="K165" s="5">
        <v>58308584992.81</v>
      </c>
      <c r="L165" s="5">
        <f>IF(MONTH('Previdência_(série)'!$A165)=1,'Previdência_(série)'!$K165,'Previdência_(série)'!$K165-K164)</f>
        <v>6750000568.23</v>
      </c>
      <c r="M165" s="5">
        <f>SUMIFS('Previdência_(série)'!$L$2:$L$166,'Previdência_(série)'!$A$2:$A$166,"&gt;"&amp;EDATE('Previdência_(série)'!$A165,-12),'Previdência_(série)'!$A$2:$A$166,"&lt;"&amp;EDATE(A165,1))</f>
        <v>88813908851.1</v>
      </c>
      <c r="N165" s="5">
        <v>5396958492.22</v>
      </c>
      <c r="O165" s="5">
        <f>IF(MONTH('Previdência_(série)'!$A165)=1,'Previdência_(série)'!$N165,'Previdência_(série)'!$N165-N164)</f>
        <v>715967411.57</v>
      </c>
      <c r="P165" s="5">
        <f>SUMIFS('Previdência_(série)'!$O$2:$O$166,'Previdência_(série)'!$A$2:$A$166,"&gt;"&amp;EDATE('Previdência_(série)'!$A165,-12),'Previdência_(série)'!$A$2:$A$166,"&lt;"&amp;EDATE(A165,1))</f>
        <v>8047839463.35</v>
      </c>
      <c r="Q165" s="5">
        <v>34953674474.23</v>
      </c>
      <c r="R165" s="5">
        <f>IF(MONTH('Previdência_(série)'!$A165)=1,'Previdência_(série)'!$Q165,'Previdência_(série)'!$Q165-Q164)</f>
        <v>4268735869.1</v>
      </c>
      <c r="S165" s="5">
        <f>SUMIFS('Previdência_(série)'!$R$2:$R$166,'Previdência_(série)'!$A$2:$A$166,"&gt;"&amp;EDATE('Previdência_(série)'!$A165,-12),'Previdência_(série)'!$A$2:$A$166,"&lt;"&amp;EDATE(A165,1))</f>
        <v>53232375362.12</v>
      </c>
      <c r="T165" s="5">
        <v>416084189.35</v>
      </c>
      <c r="U165" s="5">
        <f>IF(MONTH('Previdência_(série)'!$A165)=1,'Previdência_(série)'!$T165,'Previdência_(série)'!$T165-T164)</f>
        <v>52724806.1200001</v>
      </c>
      <c r="V165" s="5">
        <f>SUMIFS('Previdência_(série)'!$U$2:$U$166,'Previdência_(série)'!$A$2:$A$166,"&gt;"&amp;EDATE('Previdência_(série)'!$A165,-12),'Previdência_(série)'!$A$2:$A$166,"&lt;"&amp;EDATE(A165,1))</f>
        <v>628021039.18</v>
      </c>
      <c r="W165" s="5">
        <v>4365222482.27</v>
      </c>
      <c r="X165" s="5">
        <f>IF(MONTH('Previdência_(série)'!$A165)=1,'Previdência_(série)'!$W165,'Previdência_(série)'!$W165-W164)</f>
        <v>568797893.929999</v>
      </c>
      <c r="Y165" s="5">
        <f>SUMIFS('Previdência_(série)'!$X$2:$X$166,'Previdência_(série)'!$A$2:$A$166,"&gt;"&amp;EDATE('Previdência_(série)'!$A165,-12),'Previdência_(série)'!$A$2:$A$166,"&lt;"&amp;EDATE(A165,1))</f>
        <v>6613010623.55</v>
      </c>
      <c r="Z165" s="199"/>
      <c r="AA165" s="1"/>
      <c r="AB165" s="1"/>
      <c r="AC165" s="1"/>
      <c r="AD165" s="4" t="s">
        <v>593</v>
      </c>
      <c r="AE165" s="17">
        <v>44409</v>
      </c>
      <c r="AF165" s="4">
        <v>2021</v>
      </c>
    </row>
    <row ht="13.8" outlineLevel="0" r="166">
      <c r="A166" s="17">
        <v>44440</v>
      </c>
      <c r="B166" s="5">
        <v>322721460735</v>
      </c>
      <c r="C166" s="5">
        <f>IF(MONTH('Previdência_(série)'!$A166)=1,'Previdência_(série)'!$B166,'Previdência_(série)'!$B166-B165)</f>
        <v>39503882972.33</v>
      </c>
      <c r="D166" s="5">
        <f>SUMIFS('Previdência_(série)'!$C$2:$C$166,'Previdência_(série)'!$A$2:$A$166,"&gt;"&amp;EDATE('Previdência_(série)'!$A166,-12),'Previdência_(série)'!$A$2:$A$166,"&lt;"&amp;EDATE(A166,1))</f>
        <v>459663282253.23</v>
      </c>
      <c r="E166" s="5">
        <v>547084371468.42</v>
      </c>
      <c r="F166" s="5">
        <f>IF(MONTH('Previdência_(série)'!$A166)=1,'Previdência_(série)'!$E166,'Previdência_(série)'!$E166-E165)</f>
        <v>54675841189.5</v>
      </c>
      <c r="G166" s="5">
        <f>SUMIFS('Previdência_(série)'!$F$2:$F$166,'Previdência_(série)'!$A$2:$A$166,"&gt;"&amp;EDATE('Previdência_(série)'!$A166,-12),'Previdência_(série)'!$A$2:$A$166,"&lt;"&amp;EDATE(A166,1))</f>
        <v>704310791056.76</v>
      </c>
      <c r="H166" s="5">
        <v>28199553443.16</v>
      </c>
      <c r="I166" s="5">
        <f>IF(MONTH('Previdência_(série)'!$A166)=1,'Previdência_(série)'!$H166,'Previdência_(série)'!$H166-H165)</f>
        <v>3174697489.87</v>
      </c>
      <c r="J166" s="5">
        <f>SUMIFS('Previdência_(série)'!$I$2:$I$166,'Previdência_(série)'!$A$2:$A$166,"&gt;"&amp;EDATE('Previdência_(série)'!$A166,-12),'Previdência_(série)'!$A$2:$A$166,"&lt;"&amp;EDATE(A166,1))</f>
        <v>40713139241.64</v>
      </c>
      <c r="K166" s="5">
        <v>65017381375.82</v>
      </c>
      <c r="L166" s="5">
        <f>IF(MONTH('Previdência_(série)'!$A166)=1,'Previdência_(série)'!$K166,'Previdência_(série)'!$K166-K165)</f>
        <v>6708796383.00999</v>
      </c>
      <c r="M166" s="5">
        <f>SUMIFS('Previdência_(série)'!$L$2:$L$166,'Previdência_(série)'!$A$2:$A$166,"&gt;"&amp;EDATE('Previdência_(série)'!$A166,-12),'Previdência_(série)'!$A$2:$A$166,"&lt;"&amp;EDATE(A166,1))</f>
        <v>88800967464.54</v>
      </c>
      <c r="N166" s="5">
        <v>6113605792.94</v>
      </c>
      <c r="O166" s="5">
        <f>IF(MONTH('Previdência_(série)'!$A166)=1,'Previdência_(série)'!$N166,'Previdência_(série)'!$N166-N165)</f>
        <v>716647300.719999</v>
      </c>
      <c r="P166" s="5">
        <f>SUMIFS('Previdência_(série)'!$O$2:$O$166,'Previdência_(série)'!$A$2:$A$166,"&gt;"&amp;EDATE('Previdência_(série)'!$A166,-12),'Previdência_(série)'!$A$2:$A$166,"&lt;"&amp;EDATE(A166,1))</f>
        <v>8135882500.28</v>
      </c>
      <c r="Q166" s="5">
        <v>39236348001.66</v>
      </c>
      <c r="R166" s="5">
        <f>IF(MONTH('Previdência_(série)'!$A166)=1,'Previdência_(série)'!$Q166,'Previdência_(série)'!$Q166-Q165)</f>
        <v>4282673527.43</v>
      </c>
      <c r="S166" s="5">
        <f>SUMIFS('Previdência_(série)'!$R$2:$R$166,'Previdência_(série)'!$A$2:$A$166,"&gt;"&amp;EDATE('Previdência_(série)'!$A166,-12),'Previdência_(série)'!$A$2:$A$166,"&lt;"&amp;EDATE(A166,1))</f>
        <v>53460001305.95</v>
      </c>
      <c r="T166" s="5">
        <v>468529872.59</v>
      </c>
      <c r="U166" s="5">
        <f>IF(MONTH('Previdência_(série)'!$A166)=1,'Previdência_(série)'!$T166,'Previdência_(série)'!$T166-T165)</f>
        <v>52445683.2399999</v>
      </c>
      <c r="V166" s="5">
        <f>SUMIFS('Previdência_(série)'!$U$2:$U$166,'Previdência_(série)'!$A$2:$A$166,"&gt;"&amp;EDATE('Previdência_(série)'!$A166,-12),'Previdência_(série)'!$A$2:$A$166,"&lt;"&amp;EDATE(A166,1))</f>
        <v>631546495.32</v>
      </c>
      <c r="W166" s="5">
        <v>4930659797.05</v>
      </c>
      <c r="X166" s="5">
        <f>IF(MONTH('Previdência_(série)'!$A166)=1,'Previdência_(série)'!$W166,'Previdência_(série)'!$W166-W165)</f>
        <v>565437314.780001</v>
      </c>
      <c r="Y166" s="5">
        <f>SUMIFS('Previdência_(série)'!$X$2:$X$166,'Previdência_(série)'!$A$2:$A$166,"&gt;"&amp;EDATE('Previdência_(série)'!$A166,-12),'Previdência_(série)'!$A$2:$A$166,"&lt;"&amp;EDATE(A166,1))</f>
        <v>6611751056.23</v>
      </c>
      <c r="Z166" s="1"/>
      <c r="AD166" s="4" t="s">
        <v>594</v>
      </c>
      <c r="AE166" s="17">
        <v>44440</v>
      </c>
      <c r="AF166" s="4">
        <v>2021</v>
      </c>
    </row>
  </sheetData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00B050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A1" sqref="A1" activeCellId="0"/>
    </sheetView>
  </sheetViews>
  <sheetFormatPr baseColWidth="8" defaultRowHeight="13"/>
  <cols>
    <col min="1" max="1" width="27.81" style="200" customWidth="1"/>
    <col min="2" max="2" width="11.52" style="200" hidden="1" customWidth="1"/>
    <col min="3" max="15" width="6.75" style="200" customWidth="1"/>
    <col min="16" max="16" width="7.42" style="200" customWidth="1"/>
    <col min="17" max="17" width="17.95" style="200" customWidth="1"/>
    <col min="18" max="18" width="33.75" style="200" customWidth="1"/>
    <col min="19" max="19" width="15.93" style="200" customWidth="1"/>
    <col min="20" max="20" width="17.01" style="200" customWidth="1"/>
    <col min="21" max="21" width="17.82" style="200" customWidth="1"/>
    <col min="22" max="24" width="15.8" style="200" customWidth="1"/>
    <col min="25" max="25" width="19.71" style="200" customWidth="1"/>
    <col min="26" max="26" width="13.36" style="200" customWidth="1"/>
    <col min="27" max="28" width="8.64" style="200" customWidth="1"/>
    <col min="29" max="1025" width="8.64" style="200" hidden="1" customWidth="1"/>
  </cols>
  <sheetData>
    <row ht="13.8" outlineLevel="0" r="2">
      <c r="A2" s="201" t="s">
        <v>598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ht="13.8" outlineLevel="0" r="3">
      <c r="A3" s="203" t="s">
        <v>441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</row>
    <row ht="13.8" outlineLevel="0" r="4">
      <c r="A4" s="201" t="s">
        <v>450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4" t="s">
        <v>599</v>
      </c>
      <c r="P4" s="204"/>
      <c r="Q4" s="205"/>
      <c r="W4" s="206">
        <f>'Saúde_-_Gráficos'!X2</f>
        <v>44440</v>
      </c>
    </row>
    <row ht="13.8" outlineLevel="0" r="5">
      <c r="A5" s="207" t="s">
        <v>600</v>
      </c>
      <c r="B5" s="207">
        <v>2007</v>
      </c>
      <c r="C5" s="208" t="s">
        <v>601</v>
      </c>
      <c r="D5" s="208" t="s">
        <v>602</v>
      </c>
      <c r="E5" s="208" t="s">
        <v>603</v>
      </c>
      <c r="F5" s="208" t="s">
        <v>604</v>
      </c>
      <c r="G5" s="208" t="s">
        <v>458</v>
      </c>
      <c r="H5" s="208" t="s">
        <v>459</v>
      </c>
      <c r="I5" s="208" t="s">
        <v>460</v>
      </c>
      <c r="J5" s="208" t="s">
        <v>461</v>
      </c>
      <c r="K5" s="208" t="s">
        <v>462</v>
      </c>
      <c r="L5" s="208" t="s">
        <v>463</v>
      </c>
      <c r="M5" s="208" t="s">
        <v>464</v>
      </c>
      <c r="N5" s="208" t="s">
        <v>465</v>
      </c>
      <c r="O5" s="209" t="s">
        <v>466</v>
      </c>
      <c r="P5" s="208" t="s">
        <v>605</v>
      </c>
      <c r="R5" s="210"/>
      <c r="S5" s="210"/>
      <c r="T5" s="211"/>
      <c r="U5" s="212"/>
      <c r="V5" s="213"/>
      <c r="W5" s="214" t="s">
        <v>606</v>
      </c>
    </row>
    <row ht="13.8" outlineLevel="0" r="6">
      <c r="A6" s="215" t="s">
        <v>607</v>
      </c>
      <c r="B6" s="216">
        <v>94.704864</v>
      </c>
      <c r="C6" s="216">
        <v>101.30999051</v>
      </c>
      <c r="D6" s="216">
        <v>116.76589499</v>
      </c>
      <c r="E6" s="216">
        <v>159.54256986</v>
      </c>
      <c r="F6" s="216">
        <v>205.49228793</v>
      </c>
      <c r="G6" s="216">
        <v>218.81929248</v>
      </c>
      <c r="H6" s="216">
        <v>239.070938</v>
      </c>
      <c r="I6" s="216">
        <v>245.52364891</v>
      </c>
      <c r="J6" s="216">
        <v>237.33734194063</v>
      </c>
      <c r="K6" s="216">
        <v>258.793479</v>
      </c>
      <c r="L6" s="216">
        <v>272.11647287904</v>
      </c>
      <c r="M6" s="216">
        <v>299.18</v>
      </c>
      <c r="N6" s="216"/>
      <c r="O6" s="216"/>
      <c r="P6" s="216">
        <f>[12]Anexo_8!$E$73/1000000</f>
        <v>0</v>
      </c>
      <c r="R6" s="210" t="s">
        <v>608</v>
      </c>
      <c r="S6" s="210"/>
      <c r="T6" s="211"/>
      <c r="U6" s="217"/>
      <c r="V6" s="218"/>
      <c r="W6" s="219">
        <f>P8</f>
        <v>55.59955397</v>
      </c>
    </row>
    <row ht="13.8" outlineLevel="0" r="7" s="223" customFormat="1">
      <c r="A7" s="220" t="s">
        <v>609</v>
      </c>
      <c r="B7" s="221">
        <v>17.566751</v>
      </c>
      <c r="C7" s="221">
        <v>19.15062263</v>
      </c>
      <c r="D7" s="221">
        <v>24.35423731</v>
      </c>
      <c r="E7" s="221">
        <v>30.94106805</v>
      </c>
      <c r="F7" s="221">
        <v>39.79312172</v>
      </c>
      <c r="G7" s="221">
        <v>56.03586251</v>
      </c>
      <c r="H7" s="221">
        <v>53.89008</v>
      </c>
      <c r="I7" s="221">
        <v>56.8096316</v>
      </c>
      <c r="J7" s="221">
        <v>55.7944234634712</v>
      </c>
      <c r="K7" s="221">
        <v>66.693558</v>
      </c>
      <c r="L7" s="221">
        <v>63.19</v>
      </c>
      <c r="M7" s="222">
        <v>64.429497</v>
      </c>
      <c r="N7" s="222">
        <v>63.0234321080159</v>
      </c>
      <c r="O7" s="222">
        <v>69.26</v>
      </c>
      <c r="P7" s="222" t="e">
        <f>+'https://tesouro.sharepoint.com/sites/GEINF/Documentos Compartilhados/General/Teste/Anexo 8 Educação (todas as fontes).xlsm'#$$desp_exec_MDE/1000000</f>
        <v>#NAME?</v>
      </c>
      <c r="R7" s="224" t="str">
        <f>CONCATENATE("Despesas Executadas até ",W4)</f>
        <v>Despesas Executadas até 44440</v>
      </c>
      <c r="S7" s="224"/>
      <c r="T7" s="225"/>
      <c r="U7" s="226"/>
      <c r="V7" s="227"/>
      <c r="W7" s="228" t="e">
        <f>P7</f>
        <v>#NAME?</v>
      </c>
    </row>
    <row ht="17.25" customHeight="1" outlineLevel="0" r="8" s="223" customFormat="1">
      <c r="A8" s="229" t="s">
        <v>610</v>
      </c>
      <c r="B8" s="230">
        <v>17.04687552</v>
      </c>
      <c r="C8" s="230">
        <v>18.2357982918</v>
      </c>
      <c r="D8" s="230">
        <v>21.0178610982</v>
      </c>
      <c r="E8" s="230">
        <v>28.7176625748</v>
      </c>
      <c r="F8" s="230">
        <v>36.9886118274</v>
      </c>
      <c r="G8" s="230">
        <v>39.3874726464</v>
      </c>
      <c r="H8" s="230">
        <v>43.03276884</v>
      </c>
      <c r="I8" s="230">
        <v>44.1942568038</v>
      </c>
      <c r="J8" s="230">
        <v>42.7207215493134</v>
      </c>
      <c r="K8" s="230">
        <v>46.58282622</v>
      </c>
      <c r="L8" s="230">
        <v>48.9809651182272</v>
      </c>
      <c r="M8" s="222">
        <v>50.45039395</v>
      </c>
      <c r="N8" s="222">
        <v>52.665166244405</v>
      </c>
      <c r="O8" s="222">
        <v>54.4399823468415</v>
      </c>
      <c r="P8" s="222">
        <v>55.59955397</v>
      </c>
      <c r="R8" s="224" t="s">
        <v>611</v>
      </c>
      <c r="S8" s="224"/>
      <c r="T8" s="225"/>
      <c r="U8" s="231"/>
      <c r="V8" s="232"/>
      <c r="W8" s="233">
        <f>W6/W6</f>
        <v>1</v>
      </c>
    </row>
    <row ht="13.8" outlineLevel="0" r="9">
      <c r="A9" s="234" t="s">
        <v>612</v>
      </c>
      <c r="B9" s="235">
        <f>B7-B8</f>
        <v>0.519875479999996</v>
      </c>
      <c r="C9" s="235">
        <f>C7-C8</f>
        <v>0.914824338199999</v>
      </c>
      <c r="D9" s="235">
        <f>D7-D8</f>
        <v>3.33637621179999</v>
      </c>
      <c r="E9" s="235">
        <f>E7-E8</f>
        <v>2.2234054752</v>
      </c>
      <c r="F9" s="235">
        <f>F7-F8</f>
        <v>2.80450989260001</v>
      </c>
      <c r="G9" s="235">
        <f>G7-G8</f>
        <v>16.6483898636</v>
      </c>
      <c r="H9" s="235">
        <f>H7-H8</f>
        <v>10.85731116</v>
      </c>
      <c r="I9" s="235">
        <f>I7-I8</f>
        <v>12.6153747962</v>
      </c>
      <c r="J9" s="235">
        <f>J7-J8</f>
        <v>13.0737019141578</v>
      </c>
      <c r="K9" s="235">
        <f>K7-K8</f>
        <v>20.11073178</v>
      </c>
      <c r="L9" s="235">
        <f>L7-L8</f>
        <v>14.2090348817728</v>
      </c>
      <c r="M9" s="235">
        <f>M7-M8</f>
        <v>13.97910305</v>
      </c>
      <c r="N9" s="235">
        <f>N7-N8</f>
        <v>10.3582658636109</v>
      </c>
      <c r="O9" s="235">
        <f>O7-O8</f>
        <v>14.8200176531585</v>
      </c>
      <c r="P9" s="235" t="str">
        <f>IF(LEFT(P5,3)="DEZ",P7-P8,"")</f>
        <v/>
      </c>
      <c r="S9" s="210"/>
      <c r="T9" s="211"/>
      <c r="U9" s="236"/>
      <c r="V9" s="218"/>
      <c r="W9" s="237" t="e">
        <f>W7/W6</f>
        <v>#NAME?</v>
      </c>
    </row>
    <row ht="27" customHeight="1" outlineLevel="0" r="10">
      <c r="A10" s="238" t="s">
        <v>613</v>
      </c>
      <c r="B10" s="238"/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R10" s="210" t="s">
        <v>614</v>
      </c>
      <c r="S10" s="210"/>
      <c r="T10" s="211"/>
      <c r="U10" s="236"/>
      <c r="V10" s="218"/>
      <c r="W10" s="239" t="e">
        <f>P7-P8</f>
        <v>#NAME?</v>
      </c>
    </row>
    <row ht="13.8" outlineLevel="0" r="11">
      <c r="R11" s="210" t="str">
        <f>CONCATENATE("Diferença para Cumprimento (até ",W4,")")</f>
        <v>Diferença para Cumprimento (até 44440)</v>
      </c>
    </row>
    <row ht="13.8" outlineLevel="0" r="21">
      <c r="U21" s="202"/>
      <c r="V21" s="240" t="s">
        <v>615</v>
      </c>
      <c r="W21" s="240"/>
      <c r="X21" s="240"/>
    </row>
    <row ht="13.8" outlineLevel="0" r="22">
      <c r="U22" s="202"/>
      <c r="V22" s="241">
        <f>MATCH("RLI",'Educação_(série)'!$A$1:$E$1,0)</f>
        <v>2</v>
      </c>
      <c r="W22" s="241">
        <f>MATCH("EDUCAÇÃO - LIMITE MÍNIMO",'Educação_(série)'!$A$1:$E$1,0)</f>
        <v>5</v>
      </c>
      <c r="X22" s="241">
        <f>MATCH("EDUCAÇÃO - DESPESAS EXECUTADAS",'Educação_(série)'!$A$1:$E$1,0)</f>
        <v>4</v>
      </c>
    </row>
    <row ht="26.85" outlineLevel="0" r="23">
      <c r="U23" s="242" t="s">
        <v>616</v>
      </c>
      <c r="V23" s="242" t="s">
        <v>617</v>
      </c>
      <c r="W23" s="243" t="s">
        <v>618</v>
      </c>
      <c r="X23" s="243" t="s">
        <v>619</v>
      </c>
      <c r="Y23" s="244" t="s">
        <v>620</v>
      </c>
    </row>
    <row ht="15" outlineLevel="0" r="24">
      <c r="U24" s="245" t="e">
        <f>mes_ref</f>
        <v>#NAME?</v>
      </c>
      <c r="V24" s="246" t="e">
        <f>VLOOKUP($U24,'Educação_(série)'!$A$1:$E$166,V$22,0)/1000000000</f>
        <v>#NAME?</v>
      </c>
      <c r="W24" s="246" t="e">
        <f>VLOOKUP($U24,'Educação_(série)'!$A$1:$E$166,W$22,0)/1000000000</f>
        <v>#NAME?</v>
      </c>
      <c r="X24" s="246" t="e">
        <f>VLOOKUP($U24,'Educação_(série)'!$A$1:$E$166,X$22,0)/1000000000</f>
        <v>#NAME?</v>
      </c>
      <c r="Y24" s="247" t="e">
        <f>X24/W24</f>
        <v>#NAME?</v>
      </c>
    </row>
    <row ht="15" outlineLevel="0" r="25">
      <c r="U25" s="248">
        <f>EDATE(U24,-12)</f>
        <v>44075</v>
      </c>
      <c r="V25" s="246">
        <f>VLOOKUP($U25,'Educação_(série)'!$A$1:$E$166,V$22,0)/1000000000</f>
        <v>216.97422487341</v>
      </c>
      <c r="W25" s="246">
        <f>VLOOKUP($U25,'Educação_(série)'!$A$1:$E$166,W$22,0)/1000000000</f>
        <v>54.4399823468415</v>
      </c>
      <c r="X25" s="246">
        <f>VLOOKUP($U25,'Educação_(série)'!$A$1:$E$166,X$22,0)/1000000000</f>
        <v>44.5114305118476</v>
      </c>
      <c r="Y25" s="249">
        <f>X25/W25</f>
        <v>0.817623896867962</v>
      </c>
    </row>
    <row ht="15" outlineLevel="0" r="26">
      <c r="U26" s="248">
        <f>EDATE(U25,-12)</f>
        <v>43709</v>
      </c>
      <c r="V26" s="246">
        <f>VLOOKUP($U26,'Educação_(série)'!$A$1:$E$166,V$22,0)/1000000000</f>
        <v>239.63591901841</v>
      </c>
      <c r="W26" s="246">
        <f>VLOOKUP($U26,'Educação_(série)'!$A$1:$E$166,W$22,0)/1000000000</f>
        <v>52.665166244405</v>
      </c>
      <c r="X26" s="246">
        <f>VLOOKUP($U26,'Educação_(série)'!$A$1:$E$166,X$22,0)/1000000000</f>
        <v>41.3473566975548</v>
      </c>
      <c r="Y26" s="249">
        <f>X26/W26</f>
        <v>0.785098759693888</v>
      </c>
    </row>
    <row ht="15" outlineLevel="0" r="27">
      <c r="U27" s="248">
        <f>EDATE(U26,-12)</f>
        <v>43344</v>
      </c>
      <c r="V27" s="246">
        <f>VLOOKUP($U27,'Educação_(série)'!$A$1:$E$166,V$22,0)/1000000000</f>
        <v>223.131103</v>
      </c>
      <c r="W27" s="246">
        <f>VLOOKUP($U27,'Educação_(série)'!$A$1:$E$166,W$22,0)/1000000000</f>
        <v>50.45039395</v>
      </c>
      <c r="X27" s="246">
        <f>VLOOKUP($U27,'Educação_(série)'!$A$1:$E$166,X$22,0)/1000000000</f>
        <v>43.651768</v>
      </c>
      <c r="Y27" s="249">
        <f>X27/W27</f>
        <v>0.865241370429378</v>
      </c>
    </row>
    <row ht="15" outlineLevel="0" r="28">
      <c r="U28" s="248">
        <f>EDATE(U27,-12)</f>
        <v>42979</v>
      </c>
      <c r="V28" s="246">
        <f>VLOOKUP($U28,'Educação_(série)'!$A$1:$E$166,V$22,0)/1000000000</f>
        <v>202.473038</v>
      </c>
      <c r="W28" s="246">
        <f>VLOOKUP($U28,'Educação_(série)'!$A$1:$E$166,W$22,0)/1000000000</f>
        <v>48.9809651182272</v>
      </c>
      <c r="X28" s="246">
        <f>VLOOKUP($U28,'Educação_(série)'!$A$1:$E$166,X$22,0)/1000000000</f>
        <v>41.8884219440289</v>
      </c>
      <c r="Y28" s="249">
        <f>X28/W28</f>
        <v>0.855197970128217</v>
      </c>
    </row>
    <row ht="15" outlineLevel="0" r="29">
      <c r="U29" s="248">
        <f>EDATE(U28,-12)</f>
        <v>42614</v>
      </c>
      <c r="V29" s="246">
        <f>VLOOKUP($U29,'Educação_(série)'!$A$1:$E$166,V$22,0)/1000000000</f>
        <v>191.846015</v>
      </c>
      <c r="W29" s="246">
        <f>VLOOKUP($U29,'Educação_(série)'!$A$1:$E$166,W$22,0)/1000000000</f>
        <v>46.58282622</v>
      </c>
      <c r="X29" s="246">
        <f>VLOOKUP($U29,'Educação_(série)'!$A$1:$E$166,X$22,0)/1000000000</f>
        <v>43.042503</v>
      </c>
      <c r="Y29" s="249">
        <f>X29/W29</f>
        <v>0.923999389747632</v>
      </c>
    </row>
    <row ht="15" outlineLevel="0" r="30">
      <c r="J30" s="250"/>
      <c r="U30" s="248">
        <f>EDATE(U29,-12)</f>
        <v>42248</v>
      </c>
      <c r="V30" s="246">
        <f>VLOOKUP($U30,'Educação_(série)'!$A$1:$E$166,V$22,0)/1000000000</f>
        <v>196.982431</v>
      </c>
      <c r="W30" s="246">
        <f>VLOOKUP($U30,'Educação_(série)'!$A$1:$E$166,W$22,0)/1000000000</f>
        <v>46.543912</v>
      </c>
      <c r="X30" s="246">
        <f>VLOOKUP($U30,'Educação_(série)'!$A$1:$E$166,X$22,0)/1000000000</f>
        <v>44.066968</v>
      </c>
      <c r="Y30" s="249">
        <f>X30/W30</f>
        <v>0.946782642593515</v>
      </c>
    </row>
    <row ht="15" outlineLevel="0" r="31">
      <c r="U31" s="248">
        <f>EDATE(U30,-12)</f>
        <v>41883</v>
      </c>
      <c r="V31" s="246">
        <f>VLOOKUP($U31,'Educação_(série)'!$A$1:$E$166,V$22,0)/1000000000</f>
        <v>182.181599</v>
      </c>
      <c r="W31" s="246">
        <f>VLOOKUP($U31,'Educação_(série)'!$A$1:$E$166,W$22,0)/1000000000</f>
        <v>44.1942568038</v>
      </c>
      <c r="X31" s="246">
        <f>VLOOKUP($U31,'Educação_(série)'!$A$1:$E$166,X$22,0)/1000000000</f>
        <v>35.094731</v>
      </c>
      <c r="Y31" s="249">
        <f>X31/W31</f>
        <v>0.794101621751504</v>
      </c>
    </row>
    <row ht="15" outlineLevel="0" r="32">
      <c r="U32" s="248">
        <f>EDATE(U31,-12)</f>
        <v>41518</v>
      </c>
      <c r="V32" s="246">
        <f>VLOOKUP($U32,'Educação_(série)'!$A$1:$E$166,V$22,0)/1000000000</f>
        <v>173.122003</v>
      </c>
      <c r="W32" s="246">
        <f>VLOOKUP($U32,'Educação_(série)'!$A$1:$E$166,W$22,0)/1000000000</f>
        <v>43.03276884</v>
      </c>
      <c r="X32" s="246">
        <f>VLOOKUP($U32,'Educação_(série)'!$A$1:$E$166,X$22,0)/1000000000</f>
        <v>29.563557</v>
      </c>
      <c r="Y32" s="249">
        <f>X32/W32</f>
        <v>0.687001041227911</v>
      </c>
    </row>
    <row ht="15" outlineLevel="0" r="33">
      <c r="U33" s="248">
        <f>EDATE(U32,-12)</f>
        <v>41153</v>
      </c>
      <c r="V33" s="246">
        <f>VLOOKUP($U33,'Educação_(série)'!$A$1:$E$166,V$22,0)/1000000000</f>
        <v>163.338423</v>
      </c>
      <c r="W33" s="246">
        <f>VLOOKUP($U33,'Educação_(série)'!$A$1:$E$166,W$22,0)/1000000000</f>
        <v>39.3874726464</v>
      </c>
      <c r="X33" s="246">
        <f>VLOOKUP($U33,'Educação_(série)'!$A$1:$E$166,X$22,0)/1000000000</f>
        <v>25.899289</v>
      </c>
      <c r="Y33" s="249">
        <f>X33/W33</f>
        <v>0.657551430946336</v>
      </c>
    </row>
    <row ht="15" outlineLevel="0" r="34">
      <c r="U34" s="248">
        <f>EDATE(U33,-12)</f>
        <v>40787</v>
      </c>
      <c r="V34" s="246">
        <f>VLOOKUP($U34,'Educação_(série)'!$A$1:$E$166,V$22,0)/1000000000</f>
        <v>152.346296</v>
      </c>
      <c r="W34" s="246">
        <f>VLOOKUP($U34,'Educação_(série)'!$A$1:$E$166,W$22,0)/1000000000</f>
        <v>36.9886118274</v>
      </c>
      <c r="X34" s="246">
        <f>VLOOKUP($U34,'Educação_(série)'!$A$1:$E$166,X$22,0)/1000000000</f>
        <v>22.093184</v>
      </c>
      <c r="Y34" s="249">
        <f>X34/W34</f>
        <v>0.59729692217414</v>
      </c>
    </row>
    <row ht="15" outlineLevel="0" r="35">
      <c r="U35" s="251">
        <f>EDATE(U34,-12)</f>
        <v>40422</v>
      </c>
      <c r="V35" s="246">
        <f>VLOOKUP($U35,'Educação_(série)'!$A$1:$E$166,V$22,0)/1000000000</f>
        <v>115.924857</v>
      </c>
      <c r="W35" s="246">
        <f>VLOOKUP($U35,'Educação_(série)'!$A$1:$E$166,W$22,0)/1000000000</f>
        <v>28.7176625748</v>
      </c>
      <c r="X35" s="246">
        <f>VLOOKUP($U35,'Educação_(série)'!$A$1:$E$166,X$22,0)/1000000000</f>
        <v>17.913237</v>
      </c>
      <c r="Y35" s="252">
        <f>X35/W35</f>
        <v>0.62377071787587</v>
      </c>
    </row>
    <row ht="15" outlineLevel="0" r="36">
      <c r="U36" s="251">
        <f>EDATE(U35,-12)</f>
        <v>40057</v>
      </c>
      <c r="V36" s="246">
        <f>VLOOKUP($U36,'Educação_(série)'!$A$1:$E$166,V$22,0)/1000000000</f>
        <v>70.842205</v>
      </c>
      <c r="W36" s="246">
        <f>VLOOKUP($U36,'Educação_(série)'!$A$1:$E$166,W$22,0)/1000000000</f>
        <v>21.0178610982</v>
      </c>
      <c r="X36" s="246">
        <f>VLOOKUP($U36,'Educação_(série)'!$A$1:$E$166,X$22,0)/1000000000</f>
        <v>13.932126</v>
      </c>
      <c r="Y36" s="252">
        <f>X36/W36</f>
        <v>0.662870780947028</v>
      </c>
    </row>
    <row ht="15" outlineLevel="0" r="37">
      <c r="U37" s="251">
        <f>EDATE(U36,-12)</f>
        <v>39692</v>
      </c>
      <c r="V37" s="246">
        <f>VLOOKUP($U37,'Educação_(série)'!$A$1:$E$166,V$22,0)/1000000000</f>
        <v>93.433914</v>
      </c>
      <c r="W37" s="246">
        <f>VLOOKUP($U37,'Educação_(série)'!$A$1:$E$166,W$22,0)/1000000000</f>
        <v>18.2357982918</v>
      </c>
      <c r="X37" s="246">
        <f>VLOOKUP($U37,'Educação_(série)'!$A$1:$E$166,X$22,0)/1000000000</f>
        <v>11.3233663468805</v>
      </c>
      <c r="Y37" s="252">
        <f>X37/W37</f>
        <v>0.620941631711962</v>
      </c>
    </row>
    <row ht="26.85" outlineLevel="0" r="42">
      <c r="U42" s="253" t="str">
        <f>SUBSTITUTE(SUBSTITUTE(SUBSTITUTE(IF(PROPER(TEXT(mes_ref,"mmmm"))="Janeiro","Janeiro",CONCATENATE("De Janeiro a ",PROPER(TEXT(mes_ref,"mmmm")))),"June","Junho"),"July","Julho"),"August","Agosto")</f>
        <v>De Janeiro a Setembro</v>
      </c>
      <c r="V42" s="242" t="s">
        <v>617</v>
      </c>
      <c r="W42" s="243" t="s">
        <v>618</v>
      </c>
      <c r="X42" s="243" t="s">
        <v>619</v>
      </c>
      <c r="Y42" s="244" t="s">
        <v>620</v>
      </c>
    </row>
    <row ht="15" outlineLevel="0" r="43">
      <c r="U43" s="254" t="e">
        <f>YEAR(U24)</f>
        <v>#NAME?</v>
      </c>
      <c r="V43" s="255" t="e">
        <f>+V24</f>
        <v>#NAME?</v>
      </c>
      <c r="W43" s="255" t="e">
        <f>+W24</f>
        <v>#NAME?</v>
      </c>
      <c r="X43" s="255" t="e">
        <f>+X24</f>
        <v>#NAME?</v>
      </c>
      <c r="Y43" s="249" t="e">
        <f>+Y24</f>
        <v>#NAME?</v>
      </c>
    </row>
    <row ht="15" outlineLevel="0" r="44">
      <c r="U44" s="254" t="e">
        <f>+U43-1</f>
        <v>#NAME?</v>
      </c>
      <c r="V44" s="255">
        <f>+V25</f>
        <v>216.97422487341</v>
      </c>
      <c r="W44" s="255">
        <f>+W25</f>
        <v>54.4399823468415</v>
      </c>
      <c r="X44" s="255">
        <f>+X25</f>
        <v>44.5114305118476</v>
      </c>
      <c r="Y44" s="249">
        <f>+Y25</f>
        <v>0.817623896867962</v>
      </c>
    </row>
    <row ht="15" outlineLevel="0" r="45">
      <c r="U45" s="254" t="e">
        <f>+U44-1</f>
        <v>#NAME?</v>
      </c>
      <c r="V45" s="255">
        <f>+V26</f>
        <v>239.63591901841</v>
      </c>
      <c r="W45" s="255">
        <f>+W26</f>
        <v>52.665166244405</v>
      </c>
      <c r="X45" s="255">
        <f>+X26</f>
        <v>41.3473566975548</v>
      </c>
      <c r="Y45" s="249">
        <f>+Y26</f>
        <v>0.785098759693888</v>
      </c>
    </row>
    <row ht="15" outlineLevel="0" r="46">
      <c r="U46" s="254" t="e">
        <f>+U45-1</f>
        <v>#NAME?</v>
      </c>
      <c r="V46" s="255">
        <f>+V27</f>
        <v>223.131103</v>
      </c>
      <c r="W46" s="255">
        <f>+W27</f>
        <v>50.45039395</v>
      </c>
      <c r="X46" s="255">
        <f>+X27</f>
        <v>43.651768</v>
      </c>
      <c r="Y46" s="249">
        <f>+Y27</f>
        <v>0.865241370429378</v>
      </c>
    </row>
    <row ht="15" outlineLevel="0" r="47">
      <c r="U47" s="254" t="e">
        <f>+U46-1</f>
        <v>#NAME?</v>
      </c>
      <c r="V47" s="255">
        <f>+V28</f>
        <v>202.473038</v>
      </c>
      <c r="W47" s="255">
        <f>+W28</f>
        <v>48.9809651182272</v>
      </c>
      <c r="X47" s="255">
        <f>+X28</f>
        <v>41.8884219440289</v>
      </c>
      <c r="Y47" s="249">
        <f>+Y28</f>
        <v>0.855197970128217</v>
      </c>
    </row>
    <row ht="15" outlineLevel="0" r="48">
      <c r="U48" s="254" t="e">
        <f>+U47-1</f>
        <v>#NAME?</v>
      </c>
      <c r="V48" s="255">
        <f>+V29</f>
        <v>191.846015</v>
      </c>
      <c r="W48" s="255">
        <f>+W29</f>
        <v>46.58282622</v>
      </c>
      <c r="X48" s="255">
        <f>+X29</f>
        <v>43.042503</v>
      </c>
      <c r="Y48" s="249">
        <f>+Y29</f>
        <v>0.923999389747632</v>
      </c>
    </row>
    <row ht="15" outlineLevel="0" r="49">
      <c r="U49" s="254" t="e">
        <f>+U48-1</f>
        <v>#NAME?</v>
      </c>
      <c r="V49" s="255">
        <f>+V30</f>
        <v>196.982431</v>
      </c>
      <c r="W49" s="255">
        <f>+W30</f>
        <v>46.543912</v>
      </c>
      <c r="X49" s="255">
        <f>+X30</f>
        <v>44.066968</v>
      </c>
      <c r="Y49" s="249">
        <f>+Y30</f>
        <v>0.946782642593515</v>
      </c>
    </row>
    <row ht="15" outlineLevel="0" r="50">
      <c r="U50" s="254" t="e">
        <f>+U49-1</f>
        <v>#NAME?</v>
      </c>
      <c r="V50" s="255">
        <f>+V31</f>
        <v>182.181599</v>
      </c>
      <c r="W50" s="255">
        <f>+W31</f>
        <v>44.1942568038</v>
      </c>
      <c r="X50" s="255">
        <f>+X31</f>
        <v>35.094731</v>
      </c>
      <c r="Y50" s="249">
        <f>+Y31</f>
        <v>0.794101621751504</v>
      </c>
    </row>
    <row ht="15" outlineLevel="0" r="51">
      <c r="U51" s="254" t="e">
        <f>+U50-1</f>
        <v>#NAME?</v>
      </c>
      <c r="V51" s="255">
        <f>+V32</f>
        <v>173.122003</v>
      </c>
      <c r="W51" s="255">
        <f>+W32</f>
        <v>43.03276884</v>
      </c>
      <c r="X51" s="255">
        <f>+X32</f>
        <v>29.563557</v>
      </c>
      <c r="Y51" s="249">
        <f>+Y32</f>
        <v>0.687001041227911</v>
      </c>
    </row>
    <row ht="15" outlineLevel="0" r="52">
      <c r="U52" s="254" t="e">
        <f>+U51-1</f>
        <v>#NAME?</v>
      </c>
      <c r="V52" s="255">
        <f>+V33</f>
        <v>163.338423</v>
      </c>
      <c r="W52" s="255">
        <f>+W33</f>
        <v>39.3874726464</v>
      </c>
      <c r="X52" s="255">
        <f>+X33</f>
        <v>25.899289</v>
      </c>
      <c r="Y52" s="249">
        <f>+Y33</f>
        <v>0.657551430946336</v>
      </c>
    </row>
    <row ht="15" outlineLevel="0" r="53">
      <c r="U53" s="254" t="e">
        <f>+U52-1</f>
        <v>#NAME?</v>
      </c>
      <c r="V53" s="255">
        <f>+V34</f>
        <v>152.346296</v>
      </c>
      <c r="W53" s="255">
        <f>+W34</f>
        <v>36.9886118274</v>
      </c>
      <c r="X53" s="255">
        <f>+X34</f>
        <v>22.093184</v>
      </c>
      <c r="Y53" s="249">
        <f>+Y34</f>
        <v>0.59729692217414</v>
      </c>
    </row>
    <row ht="15" outlineLevel="0" r="54">
      <c r="U54" s="254" t="e">
        <f>+U53-1</f>
        <v>#NAME?</v>
      </c>
      <c r="V54" s="255">
        <f>+V35</f>
        <v>115.924857</v>
      </c>
      <c r="W54" s="255">
        <f>+W35</f>
        <v>28.7176625748</v>
      </c>
      <c r="X54" s="255">
        <f>+X35</f>
        <v>17.913237</v>
      </c>
      <c r="Y54" s="252">
        <f>+Y35</f>
        <v>0.62377071787587</v>
      </c>
    </row>
    <row ht="15" outlineLevel="0" r="55">
      <c r="U55" s="254" t="e">
        <f>+U54-1</f>
        <v>#NAME?</v>
      </c>
      <c r="V55" s="255">
        <f>+V36</f>
        <v>70.842205</v>
      </c>
      <c r="W55" s="255">
        <f>+W36</f>
        <v>21.0178610982</v>
      </c>
      <c r="X55" s="255">
        <f>+X36</f>
        <v>13.932126</v>
      </c>
      <c r="Y55" s="252">
        <f>+Y36</f>
        <v>0.662870780947028</v>
      </c>
    </row>
    <row ht="15" outlineLevel="0" r="56">
      <c r="U56" s="254" t="e">
        <f>+U55-1</f>
        <v>#NAME?</v>
      </c>
      <c r="V56" s="255">
        <f>+V37</f>
        <v>93.433914</v>
      </c>
      <c r="W56" s="255">
        <f>+W37</f>
        <v>18.2357982918</v>
      </c>
      <c r="X56" s="255">
        <f>+X37</f>
        <v>11.3233663468805</v>
      </c>
      <c r="Y56" s="252">
        <f>+Y37</f>
        <v>0.620941631711962</v>
      </c>
    </row>
    <row ht="13.8" outlineLevel="0" r="83">
      <c r="R83" s="256" t="s">
        <v>621</v>
      </c>
      <c r="S83" s="256" t="s">
        <v>622</v>
      </c>
      <c r="T83" s="200" t="s">
        <v>623</v>
      </c>
    </row>
    <row ht="13.8" outlineLevel="0" r="84">
      <c r="Q84" s="257">
        <v>43831</v>
      </c>
      <c r="R84" s="258">
        <f>'Educação_(série)'!E146</f>
        <v>54439982346.8415</v>
      </c>
      <c r="S84" s="258">
        <f>'Educação_(série)'!D146</f>
        <v>4196743470.708</v>
      </c>
      <c r="T84" s="259">
        <f>S84-S72</f>
        <v>4196743470.708</v>
      </c>
    </row>
    <row ht="13.8" outlineLevel="0" r="85">
      <c r="Q85" s="257">
        <v>43862</v>
      </c>
      <c r="R85" s="258">
        <v>54439982346.8415</v>
      </c>
      <c r="S85" s="258">
        <f>'Educação_(série)'!D147</f>
        <v>8311648779.818</v>
      </c>
      <c r="T85" s="259">
        <f>S85-S84</f>
        <v>4114905309.11</v>
      </c>
    </row>
    <row ht="13.8" outlineLevel="0" r="86">
      <c r="Q86" s="257">
        <v>43891</v>
      </c>
      <c r="R86" s="258">
        <v>54439982346.8415</v>
      </c>
      <c r="S86" s="258">
        <f>'Educação_(série)'!D148</f>
        <v>12851105155.678</v>
      </c>
      <c r="T86" s="259">
        <f>S86-S85</f>
        <v>4539456375.86</v>
      </c>
    </row>
    <row ht="13.8" outlineLevel="0" r="87">
      <c r="Q87" s="257">
        <v>43922</v>
      </c>
      <c r="R87" s="258">
        <v>54439982346.8415</v>
      </c>
      <c r="S87" s="258">
        <f>'Educação_(série)'!D149</f>
        <v>17678349065.3827</v>
      </c>
      <c r="T87" s="259">
        <f>S87-S86</f>
        <v>4827243909.7047</v>
      </c>
    </row>
    <row ht="13.8" outlineLevel="0" r="88">
      <c r="Q88" s="257">
        <v>43952</v>
      </c>
      <c r="R88" s="258">
        <v>54439982346.8415</v>
      </c>
      <c r="S88" s="258">
        <f>'Educação_(série)'!D150</f>
        <v>21407828089.5643</v>
      </c>
      <c r="T88" s="259">
        <f>S88-S87</f>
        <v>3729479024.1816</v>
      </c>
    </row>
    <row ht="13.8" outlineLevel="0" r="89">
      <c r="Q89" s="257">
        <v>43983</v>
      </c>
      <c r="R89" s="258">
        <v>54439982346.8415</v>
      </c>
      <c r="S89" s="258">
        <f>'Educação_(série)'!D151</f>
        <v>25885964625.3756</v>
      </c>
      <c r="T89" s="259">
        <f>S89-S88</f>
        <v>4478136535.81129</v>
      </c>
    </row>
    <row ht="13.8" outlineLevel="0" r="90">
      <c r="Q90" s="257">
        <v>44013</v>
      </c>
      <c r="R90" s="258">
        <v>54439982346.8415</v>
      </c>
      <c r="S90" s="258">
        <f>'Educação_(série)'!D152</f>
        <v>29488247158.9323</v>
      </c>
      <c r="T90" s="259">
        <f>S90-S89</f>
        <v>3602282533.5567</v>
      </c>
    </row>
    <row ht="13.8" outlineLevel="0" r="91">
      <c r="Q91" s="257">
        <v>44044</v>
      </c>
      <c r="R91" s="258">
        <v>54439982346.8415</v>
      </c>
      <c r="S91" s="258">
        <f>'Educação_(série)'!D153</f>
        <v>32635616000</v>
      </c>
      <c r="T91" s="259">
        <f>S91-S90</f>
        <v>3147368841.0677</v>
      </c>
    </row>
    <row ht="13.8" outlineLevel="0" r="92">
      <c r="Q92" s="257">
        <v>44075</v>
      </c>
      <c r="R92" s="258">
        <v>54439982346.8415</v>
      </c>
      <c r="S92" s="258">
        <f>'Educação_(série)'!D154</f>
        <v>44511430511.8476</v>
      </c>
      <c r="T92" s="259">
        <f>S92-S91</f>
        <v>11875814511.8476</v>
      </c>
    </row>
    <row ht="13.8" outlineLevel="0" r="93">
      <c r="Q93" s="257">
        <v>44105</v>
      </c>
      <c r="R93" s="258">
        <v>54439982346.8415</v>
      </c>
      <c r="S93" s="258">
        <f>'Educação_(série)'!D161</f>
        <v>19291925141.5248</v>
      </c>
      <c r="T93" s="259">
        <f>S93-S92</f>
        <v>-25219505370.3228</v>
      </c>
    </row>
    <row ht="13.8" outlineLevel="0" r="94">
      <c r="Q94" s="257">
        <v>44136</v>
      </c>
      <c r="R94" s="258">
        <v>54439982346.8415</v>
      </c>
    </row>
    <row ht="13.8" outlineLevel="0" r="95">
      <c r="Q95" s="257">
        <v>44166</v>
      </c>
      <c r="R95" s="258">
        <v>54439982346.8415</v>
      </c>
    </row>
    <row ht="13.8" outlineLevel="0" r="141">
      <c r="U141" s="260"/>
      <c r="V141" s="260"/>
      <c r="W141" s="261"/>
      <c r="X141" s="212" t="s">
        <v>6</v>
      </c>
      <c r="Y141" s="213" t="s">
        <v>619</v>
      </c>
      <c r="Z141" s="213" t="s">
        <v>624</v>
      </c>
      <c r="AA141" s="262" t="s">
        <v>625</v>
      </c>
    </row>
    <row ht="13.8" outlineLevel="0" r="142">
      <c r="U142" s="263" t="s">
        <v>608</v>
      </c>
      <c r="V142" s="263"/>
      <c r="W142" s="264"/>
      <c r="X142" s="265"/>
      <c r="Y142" s="218"/>
      <c r="Z142" s="265">
        <f>AA142</f>
        <v>55.59955397</v>
      </c>
      <c r="AA142" s="266">
        <f>P8</f>
        <v>55.59955397</v>
      </c>
    </row>
    <row ht="13.8" outlineLevel="0" r="143">
      <c r="U143" s="263" t="str">
        <f>CONCATENATE("Limite Mínimo (até ",AA140,")")</f>
        <v>Limite Mínimo (até )</v>
      </c>
      <c r="V143" s="263"/>
      <c r="W143" s="264"/>
      <c r="X143" s="265"/>
      <c r="Y143" s="218"/>
      <c r="Z143" s="265">
        <f>VLOOKUP("TOTAL DAS DESPESAS COM AÇÕES E SERVIÇOS PÚBLICOS DE SAÚDE (XIV)",'[13]Anexo_12_-_Saúde'!$A$1:$Z$100,11,0)/1000000</f>
        <v>0</v>
      </c>
      <c r="AA143" s="262"/>
    </row>
    <row ht="13.8" outlineLevel="0" r="144">
      <c r="U144" s="263" t="str">
        <f>CONCATENATE("Despesas Executadas até ",AA140)</f>
        <v>Despesas Executadas até </v>
      </c>
      <c r="V144" s="263"/>
      <c r="W144" s="264"/>
      <c r="X144" s="265">
        <v>0</v>
      </c>
      <c r="Y144" s="267" t="e">
        <f>AA144</f>
        <v>#NAME?</v>
      </c>
      <c r="Z144" s="218"/>
      <c r="AA144" s="268" t="e">
        <f>P7</f>
        <v>#NAME?</v>
      </c>
    </row>
    <row ht="13.8" outlineLevel="0" r="145">
      <c r="U145" s="263" t="s">
        <v>626</v>
      </c>
      <c r="V145" s="263"/>
      <c r="W145" s="264"/>
      <c r="X145" s="265"/>
      <c r="Y145" s="267"/>
      <c r="Z145" s="218"/>
      <c r="AA145" s="237">
        <f>AA142/AA142</f>
        <v>1</v>
      </c>
    </row>
    <row ht="13.8" outlineLevel="0" r="146">
      <c r="U146" s="263" t="s">
        <v>627</v>
      </c>
      <c r="V146" s="263"/>
      <c r="W146" s="264"/>
      <c r="X146" s="265"/>
      <c r="Y146" s="267" t="e">
        <f>+Y144</f>
        <v>#NAME?</v>
      </c>
      <c r="Z146" s="236">
        <f>+Z143</f>
        <v>0</v>
      </c>
      <c r="AA146" s="237" t="e">
        <f>AA144/AA142</f>
        <v>#NAME?</v>
      </c>
    </row>
    <row ht="13.8" outlineLevel="0" r="147">
      <c r="U147" s="263" t="s">
        <v>614</v>
      </c>
      <c r="V147" s="263"/>
      <c r="W147" s="264"/>
      <c r="X147" s="236" t="e">
        <f>AA142-AA144</f>
        <v>#NAME?</v>
      </c>
      <c r="Y147" s="218"/>
      <c r="Z147" s="218"/>
      <c r="AA147" s="266" t="e">
        <f>X147</f>
        <v>#NAME?</v>
      </c>
    </row>
    <row ht="13.8" outlineLevel="0" r="148">
      <c r="U148" s="269" t="str">
        <f>CONCATENATE("Diferença para Cumprimento (até ",AA140,")")</f>
        <v>Diferença para Cumprimento (até )</v>
      </c>
      <c r="V148" s="269"/>
      <c r="W148" s="270"/>
      <c r="X148" s="236" t="e">
        <f>X147</f>
        <v>#NAME?</v>
      </c>
      <c r="Y148" s="218"/>
      <c r="Z148" s="218"/>
      <c r="AA148" s="262"/>
    </row>
  </sheetData>
  <mergeCells count="3">
    <mergeCell ref="O4:P4"/>
    <mergeCell ref="A10:P10"/>
    <mergeCell ref="V21:X21"/>
  </mergeCells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false">
    <tabColor rgb="FFFFC000"/>
    <pageSetUpPr fitToPage="false"/>
  </sheetPr>
  <sheetViews>
    <sheetView topLeftCell="A1" workbookViewId="0" colorId="64" defaultGridColor="true" rightToLeft="false" showFormulas="false" showOutlineSymbols="true" showRowColHeaders="true" showZeros="true" tabSelected="false" view="normal" zoomScaleNormal="100" zoomScalePageLayoutView="60">
      <selection pane="topLeft" activeCell="E1" sqref="E1" activeCellId="0"/>
    </sheetView>
  </sheetViews>
  <sheetFormatPr baseColWidth="8" defaultRowHeight="13"/>
  <cols>
    <col min="1" max="1" width="10.12" style="1" customWidth="1"/>
    <col min="2" max="2" width="22.5" style="199" customWidth="1"/>
    <col min="3" max="3" width="35.64" style="199" customWidth="1"/>
    <col min="4" max="4" width="35.77" style="199" customWidth="1"/>
    <col min="5" max="5" width="29.16" style="199" customWidth="1"/>
    <col min="6" max="7" width="8.37" style="1" customWidth="1"/>
    <col min="8" max="8" width="34.29" style="1" customWidth="1"/>
    <col min="9" max="1025" width="8.37" style="1" customWidth="1"/>
  </cols>
  <sheetData>
    <row ht="13.8" outlineLevel="0" r="1">
      <c r="A1" s="2" t="s">
        <v>628</v>
      </c>
      <c r="B1" s="271" t="s">
        <v>617</v>
      </c>
      <c r="C1" s="271" t="s">
        <v>629</v>
      </c>
      <c r="D1" s="271" t="s">
        <v>630</v>
      </c>
      <c r="E1" s="271" t="s">
        <v>631</v>
      </c>
    </row>
    <row ht="13.8" outlineLevel="0" r="2">
      <c r="A2" s="3">
        <v>39448</v>
      </c>
      <c r="B2" s="199">
        <v>9090692000</v>
      </c>
      <c r="C2" s="199">
        <v>12213110445.58</v>
      </c>
      <c r="D2" s="199">
        <v>1014420096.72</v>
      </c>
      <c r="E2" s="199">
        <v>18235798291.8</v>
      </c>
    </row>
    <row ht="13.8" outlineLevel="0" r="3">
      <c r="A3" s="3">
        <v>39479</v>
      </c>
      <c r="B3" s="199">
        <v>19998089000</v>
      </c>
      <c r="C3" s="199">
        <v>12371454554.94</v>
      </c>
      <c r="D3" s="199">
        <v>2013854634.25</v>
      </c>
      <c r="E3" s="199">
        <v>18235798291.8</v>
      </c>
    </row>
    <row ht="13.8" outlineLevel="0" r="4">
      <c r="A4" s="3">
        <v>39508</v>
      </c>
      <c r="B4" s="199">
        <v>30653118000</v>
      </c>
      <c r="C4" s="199">
        <v>19527050719.46</v>
      </c>
      <c r="D4" s="199">
        <v>3041391091.38</v>
      </c>
      <c r="E4" s="199">
        <v>18235798291.8</v>
      </c>
    </row>
    <row ht="13.8" outlineLevel="0" r="5">
      <c r="A5" s="3">
        <v>39539</v>
      </c>
      <c r="B5" s="199">
        <v>42732152000</v>
      </c>
      <c r="C5" s="199">
        <v>19443641120.8</v>
      </c>
      <c r="D5" s="199">
        <v>4165315946.83762</v>
      </c>
      <c r="E5" s="199">
        <v>18235798291.8</v>
      </c>
    </row>
    <row ht="13.8" outlineLevel="0" r="6">
      <c r="A6" s="3">
        <v>39569</v>
      </c>
      <c r="B6" s="199">
        <v>50661883000</v>
      </c>
      <c r="C6" s="199">
        <v>19288245827.26</v>
      </c>
      <c r="D6" s="199">
        <v>5558388186.28243</v>
      </c>
      <c r="E6" s="199">
        <v>18235798291.8</v>
      </c>
    </row>
    <row ht="13.8" outlineLevel="0" r="7">
      <c r="A7" s="3">
        <v>39600</v>
      </c>
      <c r="B7" s="199">
        <v>60255841000</v>
      </c>
      <c r="C7" s="199">
        <v>19071242338.96</v>
      </c>
      <c r="D7" s="199">
        <v>7377440814.78274</v>
      </c>
      <c r="E7" s="199">
        <v>18235798291.8</v>
      </c>
    </row>
    <row ht="13.8" outlineLevel="0" r="8">
      <c r="A8" s="3">
        <v>39630</v>
      </c>
      <c r="B8" s="199">
        <v>72424880000</v>
      </c>
      <c r="C8" s="199">
        <v>19123509155.31</v>
      </c>
      <c r="D8" s="199">
        <v>8908176093.06526</v>
      </c>
      <c r="E8" s="199">
        <v>18235798291.8</v>
      </c>
    </row>
    <row ht="13.8" outlineLevel="0" r="9">
      <c r="A9" s="3">
        <v>39661</v>
      </c>
      <c r="B9" s="199">
        <v>80442379000</v>
      </c>
      <c r="C9" s="199">
        <v>19056105175.52</v>
      </c>
      <c r="D9" s="199">
        <v>10064553790.2308</v>
      </c>
      <c r="E9" s="199">
        <v>18235798291.8</v>
      </c>
    </row>
    <row ht="13.8" outlineLevel="0" r="10">
      <c r="A10" s="3">
        <v>39692</v>
      </c>
      <c r="B10" s="199">
        <v>93433914000</v>
      </c>
      <c r="C10" s="199">
        <v>20001037101.51</v>
      </c>
      <c r="D10" s="199">
        <v>11323366346.8805</v>
      </c>
      <c r="E10" s="199">
        <v>18235798291.8</v>
      </c>
    </row>
    <row ht="13.8" outlineLevel="0" r="11">
      <c r="A11" s="3">
        <v>39722</v>
      </c>
      <c r="B11" s="199">
        <v>106067087000</v>
      </c>
      <c r="C11" s="199">
        <v>19919214168.87</v>
      </c>
      <c r="D11" s="199">
        <v>12626365652.6417</v>
      </c>
      <c r="E11" s="199">
        <v>18235798291.8</v>
      </c>
    </row>
    <row ht="13.8" outlineLevel="0" r="12">
      <c r="A12" s="3">
        <v>39753</v>
      </c>
      <c r="B12" s="199">
        <v>97299942000</v>
      </c>
      <c r="C12" s="199">
        <v>19321875211.46</v>
      </c>
      <c r="D12" s="199">
        <v>14649636965.5462</v>
      </c>
      <c r="E12" s="199">
        <v>18235798291.8</v>
      </c>
    </row>
    <row ht="13.8" outlineLevel="0" r="13">
      <c r="A13" s="3">
        <v>39783</v>
      </c>
      <c r="B13" s="199">
        <v>101309990510</v>
      </c>
      <c r="C13" s="199">
        <v>20563406428.97</v>
      </c>
      <c r="D13" s="199">
        <v>19150622634.3305</v>
      </c>
      <c r="E13" s="199">
        <v>18235798291.8</v>
      </c>
    </row>
    <row ht="13.8" outlineLevel="0" r="14">
      <c r="A14" s="3">
        <v>39814</v>
      </c>
      <c r="B14" s="199">
        <v>10249116000</v>
      </c>
      <c r="C14" s="199">
        <v>23288649000</v>
      </c>
      <c r="D14" s="199">
        <v>1276801000</v>
      </c>
      <c r="E14" s="199">
        <v>21017861098.2</v>
      </c>
    </row>
    <row ht="13.8" outlineLevel="0" r="15">
      <c r="A15" s="3">
        <v>39845</v>
      </c>
      <c r="B15" s="199">
        <v>16865551000</v>
      </c>
      <c r="C15" s="199">
        <v>23352407000</v>
      </c>
      <c r="D15" s="199">
        <v>2761116000</v>
      </c>
      <c r="E15" s="199">
        <v>21017861098.2</v>
      </c>
    </row>
    <row ht="13.8" outlineLevel="0" r="16">
      <c r="A16" s="3">
        <v>39873</v>
      </c>
      <c r="B16" s="199">
        <v>25204512000</v>
      </c>
      <c r="C16" s="199">
        <v>23351303000</v>
      </c>
      <c r="D16" s="199">
        <v>4056274000</v>
      </c>
      <c r="E16" s="199">
        <v>21017861098.2</v>
      </c>
    </row>
    <row ht="13.8" outlineLevel="0" r="17">
      <c r="A17" s="3">
        <v>39904</v>
      </c>
      <c r="B17" s="199">
        <v>33979119000</v>
      </c>
      <c r="C17" s="199">
        <v>23349249000</v>
      </c>
      <c r="D17" s="199">
        <v>5449319000</v>
      </c>
      <c r="E17" s="199">
        <v>21017861098.2</v>
      </c>
    </row>
    <row ht="13.8" outlineLevel="0" r="18">
      <c r="A18" s="3">
        <v>39934</v>
      </c>
      <c r="B18" s="199">
        <v>41248091000</v>
      </c>
      <c r="C18" s="199">
        <v>23300097000</v>
      </c>
      <c r="D18" s="199">
        <v>7318033000</v>
      </c>
      <c r="E18" s="199">
        <v>21017861098.2</v>
      </c>
    </row>
    <row ht="13.8" outlineLevel="0" r="19">
      <c r="A19" s="3">
        <v>39965</v>
      </c>
      <c r="B19" s="199">
        <v>49030061000</v>
      </c>
      <c r="C19" s="199">
        <v>23111142000</v>
      </c>
      <c r="D19" s="199">
        <v>8999841000</v>
      </c>
      <c r="E19" s="199">
        <v>21017861098.2</v>
      </c>
    </row>
    <row ht="13.8" outlineLevel="0" r="20">
      <c r="A20" s="3">
        <v>39995</v>
      </c>
      <c r="B20" s="199">
        <v>56915935000</v>
      </c>
      <c r="C20" s="199">
        <v>23058400000</v>
      </c>
      <c r="D20" s="199">
        <v>10319478000</v>
      </c>
      <c r="E20" s="199">
        <v>21017861098.2</v>
      </c>
    </row>
    <row ht="13.8" outlineLevel="0" r="21">
      <c r="A21" s="3">
        <v>40026</v>
      </c>
      <c r="B21" s="199">
        <v>63648045000</v>
      </c>
      <c r="C21" s="199">
        <v>24922082000</v>
      </c>
      <c r="D21" s="199">
        <v>12143092000</v>
      </c>
      <c r="E21" s="199">
        <v>21017861098.2</v>
      </c>
    </row>
    <row ht="13.8" outlineLevel="0" r="22">
      <c r="A22" s="3">
        <v>40057</v>
      </c>
      <c r="B22" s="199">
        <v>70842205000</v>
      </c>
      <c r="C22" s="199">
        <v>25115468000</v>
      </c>
      <c r="D22" s="199">
        <v>13932126000</v>
      </c>
      <c r="E22" s="199">
        <v>21017861098.2</v>
      </c>
    </row>
    <row ht="13.8" outlineLevel="0" r="23">
      <c r="A23" s="3">
        <v>40087</v>
      </c>
      <c r="B23" s="199">
        <v>80530415000</v>
      </c>
      <c r="C23" s="199">
        <v>25120534000</v>
      </c>
      <c r="D23" s="199">
        <v>15571572000</v>
      </c>
      <c r="E23" s="199">
        <v>21017861098.2</v>
      </c>
    </row>
    <row ht="13.8" outlineLevel="0" r="24">
      <c r="A24" s="3">
        <v>40118</v>
      </c>
      <c r="B24" s="199">
        <v>89481957000</v>
      </c>
      <c r="C24" s="199">
        <v>25759843000</v>
      </c>
      <c r="D24" s="199">
        <v>18147977000</v>
      </c>
      <c r="E24" s="199">
        <v>21017861098.2</v>
      </c>
    </row>
    <row ht="13.8" outlineLevel="0" r="25">
      <c r="A25" s="3">
        <v>40148</v>
      </c>
      <c r="B25" s="199">
        <v>116765894990</v>
      </c>
      <c r="C25" s="199">
        <v>26626301000</v>
      </c>
      <c r="D25" s="199">
        <v>24354237310</v>
      </c>
      <c r="E25" s="199">
        <v>21017861098.2</v>
      </c>
    </row>
    <row ht="13.8" outlineLevel="0" r="26">
      <c r="A26" s="3">
        <v>40179</v>
      </c>
      <c r="B26" s="199">
        <v>12912119000</v>
      </c>
      <c r="C26" s="199">
        <v>32460274000</v>
      </c>
      <c r="D26" s="199">
        <v>1527129000</v>
      </c>
      <c r="E26" s="199">
        <v>28717662574.8</v>
      </c>
    </row>
    <row ht="13.8" outlineLevel="0" r="27">
      <c r="A27" s="3">
        <v>40210</v>
      </c>
      <c r="B27" s="199">
        <v>21440893000</v>
      </c>
      <c r="C27" s="199">
        <v>32356749000</v>
      </c>
      <c r="D27" s="199">
        <v>3074996000</v>
      </c>
      <c r="E27" s="199">
        <v>28717662574.8</v>
      </c>
    </row>
    <row ht="13.8" outlineLevel="0" r="28">
      <c r="A28" s="3">
        <v>40238</v>
      </c>
      <c r="B28" s="199">
        <v>36850379000</v>
      </c>
      <c r="C28" s="199">
        <v>32260658000</v>
      </c>
      <c r="D28" s="199">
        <v>4864369000</v>
      </c>
      <c r="E28" s="199">
        <v>28717662574.8</v>
      </c>
    </row>
    <row ht="13.8" outlineLevel="0" r="29">
      <c r="A29" s="3">
        <v>40269</v>
      </c>
      <c r="B29" s="199">
        <v>51915348000</v>
      </c>
      <c r="C29" s="199">
        <v>32108700000</v>
      </c>
      <c r="D29" s="199">
        <v>6682076000</v>
      </c>
      <c r="E29" s="199">
        <v>28717662574.8</v>
      </c>
    </row>
    <row ht="13.8" outlineLevel="0" r="30">
      <c r="A30" s="3">
        <v>40299</v>
      </c>
      <c r="B30" s="199">
        <v>63804181000</v>
      </c>
      <c r="C30" s="199">
        <v>32061556000</v>
      </c>
      <c r="D30" s="199">
        <v>8670017000</v>
      </c>
      <c r="E30" s="199">
        <v>28717662574.8</v>
      </c>
    </row>
    <row ht="13.8" outlineLevel="0" r="31">
      <c r="A31" s="3">
        <v>40330</v>
      </c>
      <c r="B31" s="199">
        <v>76429035000</v>
      </c>
      <c r="C31" s="199">
        <v>31950480000</v>
      </c>
      <c r="D31" s="199">
        <v>10950453000</v>
      </c>
      <c r="E31" s="199">
        <v>28717662574.8</v>
      </c>
    </row>
    <row ht="13.8" outlineLevel="0" r="32">
      <c r="A32" s="3">
        <v>40360</v>
      </c>
      <c r="B32" s="199">
        <v>90861051000</v>
      </c>
      <c r="C32" s="199">
        <v>31746589000</v>
      </c>
      <c r="D32" s="199">
        <v>13359729000</v>
      </c>
      <c r="E32" s="199">
        <v>28717662574.8</v>
      </c>
    </row>
    <row ht="13.8" outlineLevel="0" r="33">
      <c r="A33" s="3">
        <v>40391</v>
      </c>
      <c r="B33" s="199">
        <v>102328289000</v>
      </c>
      <c r="C33" s="199">
        <v>31741726000</v>
      </c>
      <c r="D33" s="199">
        <v>15595668000</v>
      </c>
      <c r="E33" s="199">
        <v>28717662574.8</v>
      </c>
    </row>
    <row ht="13.8" outlineLevel="0" r="34">
      <c r="A34" s="3">
        <v>40422</v>
      </c>
      <c r="B34" s="199">
        <v>115924857000</v>
      </c>
      <c r="C34" s="199">
        <v>33489688000</v>
      </c>
      <c r="D34" s="199">
        <v>17913237000</v>
      </c>
      <c r="E34" s="199">
        <v>28717662574.8</v>
      </c>
    </row>
    <row ht="13.8" outlineLevel="0" r="35">
      <c r="A35" s="3">
        <v>40452</v>
      </c>
      <c r="B35" s="199">
        <v>130861038000</v>
      </c>
      <c r="C35" s="199">
        <v>33386701000</v>
      </c>
      <c r="D35" s="199">
        <v>20299372000</v>
      </c>
      <c r="E35" s="199">
        <v>28717662574.8</v>
      </c>
    </row>
    <row ht="13.8" outlineLevel="0" r="36">
      <c r="A36" s="3">
        <v>40483</v>
      </c>
      <c r="B36" s="199">
        <v>143631621000</v>
      </c>
      <c r="C36" s="199">
        <v>33281901000</v>
      </c>
      <c r="D36" s="199">
        <v>23450607000</v>
      </c>
      <c r="E36" s="199">
        <v>28717662574.8</v>
      </c>
    </row>
    <row ht="13.8" outlineLevel="0" r="37">
      <c r="A37" s="3">
        <v>40513</v>
      </c>
      <c r="B37" s="199">
        <v>159542569860</v>
      </c>
      <c r="C37" s="199">
        <v>33548693000</v>
      </c>
      <c r="D37" s="199">
        <v>30941068050</v>
      </c>
      <c r="E37" s="199">
        <v>28717662574.8</v>
      </c>
    </row>
    <row ht="13.8" outlineLevel="0" r="38">
      <c r="A38" s="3">
        <v>40544</v>
      </c>
      <c r="B38" s="199">
        <v>26068811000</v>
      </c>
      <c r="C38" s="199">
        <v>34497042000</v>
      </c>
      <c r="D38" s="199">
        <v>3521148000</v>
      </c>
      <c r="E38" s="199">
        <v>36988611827.4</v>
      </c>
    </row>
    <row ht="13.8" outlineLevel="0" r="39">
      <c r="A39" s="3">
        <v>40575</v>
      </c>
      <c r="B39" s="199">
        <v>34593699000</v>
      </c>
      <c r="C39" s="199">
        <v>48024045000</v>
      </c>
      <c r="D39" s="199">
        <v>5869910000</v>
      </c>
      <c r="E39" s="199">
        <v>36988611827.4</v>
      </c>
    </row>
    <row ht="13.8" outlineLevel="0" r="40">
      <c r="A40" s="3">
        <v>40603</v>
      </c>
      <c r="B40" s="199">
        <v>51850667000</v>
      </c>
      <c r="C40" s="199">
        <v>47911867000</v>
      </c>
      <c r="D40" s="199">
        <v>8488584000</v>
      </c>
      <c r="E40" s="199">
        <v>36988611827.4</v>
      </c>
    </row>
    <row ht="13.8" outlineLevel="0" r="41">
      <c r="A41" s="3">
        <v>40634</v>
      </c>
      <c r="B41" s="199">
        <v>74665571000</v>
      </c>
      <c r="C41" s="199">
        <v>47791367000</v>
      </c>
      <c r="D41" s="199">
        <v>11359368000</v>
      </c>
      <c r="E41" s="199">
        <v>36988611827.4</v>
      </c>
    </row>
    <row ht="13.8" outlineLevel="0" r="42">
      <c r="A42" s="3">
        <v>40664</v>
      </c>
      <c r="B42" s="199">
        <v>87991903000</v>
      </c>
      <c r="C42" s="199">
        <v>42496292000</v>
      </c>
      <c r="D42" s="199">
        <v>11466543000</v>
      </c>
      <c r="E42" s="199">
        <v>36988611827.4</v>
      </c>
    </row>
    <row ht="13.8" outlineLevel="0" r="43">
      <c r="A43" s="3">
        <v>40695</v>
      </c>
      <c r="B43" s="199">
        <v>103408104000</v>
      </c>
      <c r="C43" s="199">
        <v>41490400000</v>
      </c>
      <c r="D43" s="199">
        <v>14211241000</v>
      </c>
      <c r="E43" s="199">
        <v>36988611827.4</v>
      </c>
    </row>
    <row ht="13.8" outlineLevel="0" r="44">
      <c r="A44" s="3">
        <v>40725</v>
      </c>
      <c r="B44" s="199">
        <v>123740219000</v>
      </c>
      <c r="C44" s="199">
        <v>41623153000</v>
      </c>
      <c r="D44" s="199">
        <v>16771586000</v>
      </c>
      <c r="E44" s="199">
        <v>36988611827.4</v>
      </c>
    </row>
    <row ht="13.8" outlineLevel="0" r="45">
      <c r="A45" s="3">
        <v>40756</v>
      </c>
      <c r="B45" s="199">
        <v>136252419000</v>
      </c>
      <c r="C45" s="199">
        <v>42367334000</v>
      </c>
      <c r="D45" s="199">
        <v>19402608000</v>
      </c>
      <c r="E45" s="199">
        <v>36988611827.4</v>
      </c>
    </row>
    <row ht="13.8" outlineLevel="0" r="46">
      <c r="A46" s="3">
        <v>40787</v>
      </c>
      <c r="B46" s="199">
        <v>152346296000</v>
      </c>
      <c r="C46" s="199">
        <v>42239277000</v>
      </c>
      <c r="D46" s="199">
        <v>22093184000</v>
      </c>
      <c r="E46" s="199">
        <v>36988611827.4</v>
      </c>
    </row>
    <row ht="13.8" outlineLevel="0" r="47">
      <c r="A47" s="3">
        <v>40817</v>
      </c>
      <c r="B47" s="199">
        <v>174286195000</v>
      </c>
      <c r="C47" s="199">
        <v>42546566000</v>
      </c>
      <c r="D47" s="199">
        <v>24734923000</v>
      </c>
      <c r="E47" s="199">
        <v>36988611827.4</v>
      </c>
    </row>
    <row ht="13.8" outlineLevel="0" r="48">
      <c r="A48" s="3">
        <v>40848</v>
      </c>
      <c r="B48" s="199">
        <v>189994530000</v>
      </c>
      <c r="C48" s="199">
        <v>42657326000</v>
      </c>
      <c r="D48" s="199">
        <v>28706203000</v>
      </c>
      <c r="E48" s="199">
        <v>36988611827.4</v>
      </c>
    </row>
    <row ht="13.8" outlineLevel="0" r="49">
      <c r="A49" s="3">
        <v>40878</v>
      </c>
      <c r="B49" s="199">
        <v>205492287930</v>
      </c>
      <c r="C49" s="199">
        <v>42734276000</v>
      </c>
      <c r="D49" s="199">
        <v>39793121720</v>
      </c>
      <c r="E49" s="199">
        <v>36988611827.4</v>
      </c>
    </row>
    <row ht="13.8" outlineLevel="0" r="50">
      <c r="A50" s="3">
        <v>40909</v>
      </c>
      <c r="B50" s="199">
        <v>30476068000</v>
      </c>
      <c r="C50" s="199">
        <v>55931010000</v>
      </c>
      <c r="D50" s="199">
        <v>2780563000</v>
      </c>
      <c r="E50" s="199">
        <v>39387472646.4</v>
      </c>
    </row>
    <row ht="13.8" outlineLevel="0" r="51">
      <c r="A51" s="3">
        <v>40940</v>
      </c>
      <c r="B51" s="199">
        <v>41016685000</v>
      </c>
      <c r="C51" s="199">
        <v>55821370000</v>
      </c>
      <c r="D51" s="199">
        <v>5333930000</v>
      </c>
      <c r="E51" s="199">
        <v>39387472646.4</v>
      </c>
    </row>
    <row ht="13.8" outlineLevel="0" r="52">
      <c r="A52" s="3">
        <v>40969</v>
      </c>
      <c r="B52" s="199">
        <v>60860577000</v>
      </c>
      <c r="C52" s="199">
        <v>55551458000</v>
      </c>
      <c r="D52" s="199">
        <v>8373881000</v>
      </c>
      <c r="E52" s="199">
        <v>39387472646.4</v>
      </c>
    </row>
    <row ht="13.8" outlineLevel="0" r="53">
      <c r="A53" s="3">
        <v>41000</v>
      </c>
      <c r="B53" s="199">
        <v>85651992000</v>
      </c>
      <c r="C53" s="199">
        <v>55663763000</v>
      </c>
      <c r="D53" s="199">
        <v>11619939000</v>
      </c>
      <c r="E53" s="199">
        <v>39387472646.4</v>
      </c>
    </row>
    <row ht="13.8" outlineLevel="0" r="54">
      <c r="A54" s="3">
        <v>41030</v>
      </c>
      <c r="B54" s="199">
        <v>98816587000</v>
      </c>
      <c r="C54" s="199">
        <v>55529024000</v>
      </c>
      <c r="D54" s="199">
        <v>15301058000</v>
      </c>
      <c r="E54" s="199">
        <v>39387472646.4</v>
      </c>
    </row>
    <row ht="13.8" outlineLevel="0" r="55">
      <c r="A55" s="3">
        <v>41061</v>
      </c>
      <c r="B55" s="199">
        <v>114913159000</v>
      </c>
      <c r="C55" s="199">
        <v>58706013000</v>
      </c>
      <c r="D55" s="199">
        <v>18757890000</v>
      </c>
      <c r="E55" s="199">
        <v>39387472646.4</v>
      </c>
    </row>
    <row ht="13.8" outlineLevel="0" r="56">
      <c r="A56" s="3">
        <v>41091</v>
      </c>
      <c r="B56" s="199">
        <v>133692774000</v>
      </c>
      <c r="C56" s="199">
        <v>58653908000</v>
      </c>
      <c r="D56" s="199">
        <v>22538882000</v>
      </c>
      <c r="E56" s="199">
        <v>39387472646.4</v>
      </c>
    </row>
    <row ht="13.8" outlineLevel="0" r="57">
      <c r="A57" s="3">
        <v>41122</v>
      </c>
      <c r="B57" s="199">
        <v>147163044000</v>
      </c>
      <c r="C57" s="199">
        <v>58494060000</v>
      </c>
      <c r="D57" s="199">
        <v>26687217000</v>
      </c>
      <c r="E57" s="199">
        <v>39387472646.4</v>
      </c>
    </row>
    <row ht="13.8" outlineLevel="0" r="58">
      <c r="A58" s="3">
        <v>41153</v>
      </c>
      <c r="B58" s="199">
        <v>163338423000</v>
      </c>
      <c r="C58" s="199">
        <v>50962962000</v>
      </c>
      <c r="D58" s="199">
        <v>25899289000</v>
      </c>
      <c r="E58" s="199">
        <v>39387472646.4</v>
      </c>
    </row>
    <row ht="13.8" outlineLevel="0" r="59">
      <c r="A59" s="3">
        <v>41183</v>
      </c>
      <c r="B59" s="199">
        <v>184524948000</v>
      </c>
      <c r="C59" s="199">
        <v>53059327000</v>
      </c>
      <c r="D59" s="199">
        <v>29305394000</v>
      </c>
      <c r="E59" s="199">
        <v>39387472646.4</v>
      </c>
    </row>
    <row ht="13.8" outlineLevel="0" r="60">
      <c r="A60" s="3">
        <v>41214</v>
      </c>
      <c r="B60" s="199">
        <v>201494186000</v>
      </c>
      <c r="C60" s="199">
        <v>60320487000</v>
      </c>
      <c r="D60" s="199">
        <v>39184315000</v>
      </c>
      <c r="E60" s="199">
        <v>39387472646.4</v>
      </c>
    </row>
    <row ht="13.8" outlineLevel="0" r="61">
      <c r="A61" s="3">
        <v>41244</v>
      </c>
      <c r="B61" s="199">
        <v>218819292480</v>
      </c>
      <c r="C61" s="199">
        <v>63531101000</v>
      </c>
      <c r="D61" s="199">
        <v>56035862510</v>
      </c>
      <c r="E61" s="199">
        <v>39387472646.4</v>
      </c>
    </row>
    <row ht="13.8" outlineLevel="0" r="62">
      <c r="A62" s="3">
        <v>41275</v>
      </c>
      <c r="B62" s="199">
        <v>34916045000</v>
      </c>
      <c r="C62" s="199">
        <v>34544376000</v>
      </c>
      <c r="D62" s="199">
        <v>2078086000</v>
      </c>
      <c r="E62" s="199">
        <v>43032768840</v>
      </c>
    </row>
    <row ht="13.8" outlineLevel="0" r="63">
      <c r="A63" s="3">
        <v>41306</v>
      </c>
      <c r="B63" s="199">
        <v>43373788000</v>
      </c>
      <c r="C63" s="199">
        <v>35409184000</v>
      </c>
      <c r="D63" s="199">
        <v>4486334000</v>
      </c>
      <c r="E63" s="199">
        <v>43032768840</v>
      </c>
    </row>
    <row ht="13.8" outlineLevel="0" r="64">
      <c r="A64" s="3">
        <v>41334</v>
      </c>
      <c r="B64" s="199">
        <v>60438271000</v>
      </c>
      <c r="C64" s="199">
        <v>37138784000</v>
      </c>
      <c r="D64" s="199">
        <v>7470209000</v>
      </c>
      <c r="E64" s="199">
        <v>43032768840</v>
      </c>
    </row>
    <row ht="13.8" outlineLevel="0" r="65">
      <c r="A65" s="3">
        <v>41365</v>
      </c>
      <c r="B65" s="199">
        <v>91765752000</v>
      </c>
      <c r="C65" s="199">
        <v>54566416000</v>
      </c>
      <c r="D65" s="199">
        <v>10997455000</v>
      </c>
      <c r="E65" s="199">
        <v>43032768840</v>
      </c>
    </row>
    <row ht="13.8" outlineLevel="0" r="66">
      <c r="A66" s="3">
        <v>41395</v>
      </c>
      <c r="B66" s="199">
        <v>103431817000</v>
      </c>
      <c r="C66" s="199">
        <v>56610679000</v>
      </c>
      <c r="D66" s="199">
        <v>14757934000</v>
      </c>
      <c r="E66" s="199">
        <v>43032768840</v>
      </c>
    </row>
    <row ht="13.8" outlineLevel="0" r="67">
      <c r="A67" s="3">
        <v>41426</v>
      </c>
      <c r="B67" s="199">
        <v>119387497000</v>
      </c>
      <c r="C67" s="199">
        <v>53862961000</v>
      </c>
      <c r="D67" s="199">
        <v>18450622000</v>
      </c>
      <c r="E67" s="199">
        <v>43032768840</v>
      </c>
    </row>
    <row ht="13.8" outlineLevel="0" r="68">
      <c r="A68" s="3">
        <v>41456</v>
      </c>
      <c r="B68" s="199">
        <v>141681566000</v>
      </c>
      <c r="C68" s="199">
        <v>56288640000</v>
      </c>
      <c r="D68" s="199">
        <v>22317566000</v>
      </c>
      <c r="E68" s="199">
        <v>43032768840</v>
      </c>
    </row>
    <row ht="13.8" outlineLevel="0" r="69">
      <c r="A69" s="3">
        <v>41487</v>
      </c>
      <c r="B69" s="199">
        <v>155558239000</v>
      </c>
      <c r="C69" s="199">
        <v>56291197000</v>
      </c>
      <c r="D69" s="199">
        <v>26906221000</v>
      </c>
      <c r="E69" s="199">
        <v>43032768840</v>
      </c>
    </row>
    <row ht="13.8" outlineLevel="0" r="70">
      <c r="A70" s="3">
        <v>41518</v>
      </c>
      <c r="B70" s="199">
        <v>173122003000</v>
      </c>
      <c r="C70" s="199">
        <v>56843237000</v>
      </c>
      <c r="D70" s="199">
        <v>29563557000</v>
      </c>
      <c r="E70" s="199">
        <v>43032768840</v>
      </c>
    </row>
    <row ht="13.8" outlineLevel="0" r="71">
      <c r="A71" s="3">
        <v>41548</v>
      </c>
      <c r="B71" s="199">
        <v>197444209000</v>
      </c>
      <c r="C71" s="199">
        <v>59112602000</v>
      </c>
      <c r="D71" s="199">
        <v>34010474000</v>
      </c>
      <c r="E71" s="199">
        <v>43032768840</v>
      </c>
    </row>
    <row ht="13.8" outlineLevel="0" r="72">
      <c r="A72" s="3">
        <v>41579</v>
      </c>
      <c r="B72" s="199">
        <v>214277633000</v>
      </c>
      <c r="C72" s="199">
        <v>59103536000</v>
      </c>
      <c r="D72" s="199">
        <v>39026063000</v>
      </c>
      <c r="E72" s="199">
        <v>43032768840</v>
      </c>
    </row>
    <row ht="13.8" outlineLevel="0" r="73">
      <c r="A73" s="3">
        <v>41609</v>
      </c>
      <c r="B73" s="199">
        <v>239070938000</v>
      </c>
      <c r="C73" s="199">
        <v>59552479000</v>
      </c>
      <c r="D73" s="199">
        <v>53890080000</v>
      </c>
      <c r="E73" s="199">
        <v>43032768840</v>
      </c>
    </row>
    <row ht="13.8" outlineLevel="0" r="74">
      <c r="A74" s="3">
        <v>41640</v>
      </c>
      <c r="B74" s="199">
        <v>42502656000</v>
      </c>
      <c r="C74" s="199">
        <v>58864745000</v>
      </c>
      <c r="D74" s="199">
        <v>2951630000</v>
      </c>
      <c r="E74" s="199">
        <v>44194256803.8</v>
      </c>
    </row>
    <row ht="13.8" outlineLevel="0" r="75">
      <c r="A75" s="3">
        <v>41671</v>
      </c>
      <c r="B75" s="199">
        <v>43874284000</v>
      </c>
      <c r="C75" s="199">
        <v>58708461000</v>
      </c>
      <c r="D75" s="199">
        <v>6646943000</v>
      </c>
      <c r="E75" s="199">
        <v>44194256803.8</v>
      </c>
    </row>
    <row ht="13.8" outlineLevel="0" r="76">
      <c r="A76" s="3">
        <v>41699</v>
      </c>
      <c r="B76" s="199">
        <v>63767807000</v>
      </c>
      <c r="C76" s="199">
        <v>58593749000</v>
      </c>
      <c r="D76" s="199">
        <v>9884868000</v>
      </c>
      <c r="E76" s="199">
        <v>44194256803.8</v>
      </c>
    </row>
    <row ht="13.8" outlineLevel="0" r="77">
      <c r="A77" s="3">
        <v>41730</v>
      </c>
      <c r="B77" s="199">
        <v>92734853000</v>
      </c>
      <c r="C77" s="199">
        <v>58438931000</v>
      </c>
      <c r="D77" s="199">
        <v>14083899000</v>
      </c>
      <c r="E77" s="199">
        <v>44194256803.8</v>
      </c>
    </row>
    <row ht="13.8" outlineLevel="0" r="78">
      <c r="A78" s="3">
        <v>41760</v>
      </c>
      <c r="B78" s="199">
        <v>107243379000</v>
      </c>
      <c r="C78" s="199">
        <v>58110094000</v>
      </c>
      <c r="D78" s="199">
        <v>17695905000</v>
      </c>
      <c r="E78" s="199">
        <v>44194256803.8</v>
      </c>
    </row>
    <row ht="13.8" outlineLevel="0" r="79">
      <c r="A79" s="3">
        <v>41791</v>
      </c>
      <c r="B79" s="199">
        <v>126189204000</v>
      </c>
      <c r="C79" s="199">
        <v>59793833000</v>
      </c>
      <c r="D79" s="199">
        <v>22130312000</v>
      </c>
      <c r="E79" s="199">
        <v>44194256803.8</v>
      </c>
    </row>
    <row ht="13.8" outlineLevel="0" r="80">
      <c r="A80" s="3">
        <v>41821</v>
      </c>
      <c r="B80" s="199">
        <v>148223394000</v>
      </c>
      <c r="C80" s="199">
        <v>61426537000</v>
      </c>
      <c r="D80" s="199">
        <v>26730470000</v>
      </c>
      <c r="E80" s="199">
        <v>44194256803.8</v>
      </c>
    </row>
    <row ht="13.8" outlineLevel="0" r="81">
      <c r="A81" s="3">
        <v>41852</v>
      </c>
      <c r="B81" s="199">
        <v>165295705000</v>
      </c>
      <c r="C81" s="199">
        <v>60124187000</v>
      </c>
      <c r="D81" s="199">
        <v>31181194000</v>
      </c>
      <c r="E81" s="199">
        <v>44194256803.8</v>
      </c>
    </row>
    <row ht="13.8" outlineLevel="0" r="82">
      <c r="A82" s="3">
        <v>41883</v>
      </c>
      <c r="B82" s="199">
        <v>182181599000</v>
      </c>
      <c r="C82" s="199">
        <v>59090014000</v>
      </c>
      <c r="D82" s="199">
        <v>35094731000</v>
      </c>
      <c r="E82" s="199">
        <v>44194256803.8</v>
      </c>
    </row>
    <row ht="13.8" outlineLevel="0" r="83">
      <c r="A83" s="3">
        <v>41913</v>
      </c>
      <c r="B83" s="199">
        <v>206025121000</v>
      </c>
      <c r="C83" s="199">
        <v>62518497000</v>
      </c>
      <c r="D83" s="199">
        <v>40790788000</v>
      </c>
      <c r="E83" s="199">
        <v>44194256803.8</v>
      </c>
    </row>
    <row ht="13.8" outlineLevel="0" r="84">
      <c r="A84" s="3">
        <v>41944</v>
      </c>
      <c r="B84" s="199">
        <v>224169358000</v>
      </c>
      <c r="C84" s="199">
        <v>62145023000</v>
      </c>
      <c r="D84" s="199">
        <v>46328379000</v>
      </c>
      <c r="E84" s="199">
        <v>44194256803.8</v>
      </c>
    </row>
    <row ht="13.8" outlineLevel="0" r="85">
      <c r="A85" s="3">
        <v>41974</v>
      </c>
      <c r="B85" s="199">
        <v>245523648910</v>
      </c>
      <c r="C85" s="199">
        <v>61551962000</v>
      </c>
      <c r="D85" s="199">
        <v>56809631600</v>
      </c>
      <c r="E85" s="199">
        <v>44194256803.8</v>
      </c>
    </row>
    <row ht="13.8" outlineLevel="0" r="86">
      <c r="A86" s="3">
        <v>42005</v>
      </c>
      <c r="B86" s="199">
        <v>38857506000</v>
      </c>
      <c r="C86" s="199">
        <v>65313181000</v>
      </c>
      <c r="D86" s="199">
        <v>4947848000</v>
      </c>
      <c r="E86" s="199">
        <v>46543912000</v>
      </c>
    </row>
    <row ht="13.8" outlineLevel="0" r="87">
      <c r="A87" s="3">
        <v>42036</v>
      </c>
      <c r="B87" s="199">
        <v>47798728000</v>
      </c>
      <c r="C87" s="199">
        <v>53161211000</v>
      </c>
      <c r="D87" s="199">
        <v>8689504000</v>
      </c>
      <c r="E87" s="199">
        <v>46543912000</v>
      </c>
    </row>
    <row ht="13.8" outlineLevel="0" r="88">
      <c r="A88" s="3">
        <v>42064</v>
      </c>
      <c r="B88" s="199">
        <v>70305136000</v>
      </c>
      <c r="C88" s="199">
        <v>53800461000</v>
      </c>
      <c r="D88" s="199">
        <v>13471503000</v>
      </c>
      <c r="E88" s="199">
        <v>46543912000</v>
      </c>
    </row>
    <row ht="13.8" outlineLevel="0" r="89">
      <c r="A89" s="3">
        <v>42095</v>
      </c>
      <c r="B89" s="199">
        <v>99868350000</v>
      </c>
      <c r="C89" s="199">
        <v>67444034000</v>
      </c>
      <c r="D89" s="199">
        <v>18720984000</v>
      </c>
      <c r="E89" s="199">
        <v>46543912000</v>
      </c>
    </row>
    <row ht="13.8" outlineLevel="0" r="90">
      <c r="A90" s="3">
        <v>42125</v>
      </c>
      <c r="B90" s="199">
        <v>116974210000</v>
      </c>
      <c r="C90" s="199">
        <v>67947038000</v>
      </c>
      <c r="D90" s="199">
        <v>23513418000</v>
      </c>
      <c r="E90" s="199">
        <v>46543912000</v>
      </c>
    </row>
    <row ht="13.8" outlineLevel="0" r="91">
      <c r="A91" s="3">
        <v>42156</v>
      </c>
      <c r="B91" s="199">
        <v>136975001000</v>
      </c>
      <c r="C91" s="199">
        <v>66549184000</v>
      </c>
      <c r="D91" s="199">
        <v>29383493000</v>
      </c>
      <c r="E91" s="199">
        <v>46543912000</v>
      </c>
    </row>
    <row ht="13.8" outlineLevel="0" r="92">
      <c r="A92" s="3">
        <v>42186</v>
      </c>
      <c r="B92" s="199">
        <v>159159973000</v>
      </c>
      <c r="C92" s="199">
        <v>66007895000</v>
      </c>
      <c r="D92" s="199">
        <v>34357229000</v>
      </c>
      <c r="E92" s="199">
        <v>46543912000</v>
      </c>
    </row>
    <row ht="13.8" outlineLevel="0" r="93">
      <c r="A93" s="3">
        <v>42217</v>
      </c>
      <c r="B93" s="199">
        <v>175167122000</v>
      </c>
      <c r="C93" s="199">
        <v>66399895000</v>
      </c>
      <c r="D93" s="199">
        <v>39215196000</v>
      </c>
      <c r="E93" s="199">
        <v>46543912000</v>
      </c>
    </row>
    <row ht="13.8" outlineLevel="0" r="94">
      <c r="A94" s="3">
        <v>42248</v>
      </c>
      <c r="B94" s="199">
        <v>196982431000</v>
      </c>
      <c r="C94" s="199">
        <v>66399895000</v>
      </c>
      <c r="D94" s="199">
        <v>44066968000</v>
      </c>
      <c r="E94" s="199">
        <v>46543912000</v>
      </c>
    </row>
    <row ht="13.8" outlineLevel="0" r="95">
      <c r="A95" s="3">
        <v>42278</v>
      </c>
      <c r="B95" s="199">
        <v>221092794000</v>
      </c>
      <c r="C95" s="199">
        <v>66060062000</v>
      </c>
      <c r="D95" s="199">
        <v>48669453000</v>
      </c>
      <c r="E95" s="199">
        <v>46543912000</v>
      </c>
    </row>
    <row ht="13.8" outlineLevel="0" r="96">
      <c r="A96" s="3">
        <v>42309</v>
      </c>
      <c r="B96" s="199">
        <v>237337342000</v>
      </c>
      <c r="C96" s="199">
        <v>62537440000</v>
      </c>
      <c r="D96" s="199">
        <v>51593072000</v>
      </c>
      <c r="E96" s="199">
        <v>46543912000</v>
      </c>
    </row>
    <row ht="13.8" outlineLevel="0" r="97">
      <c r="A97" s="3">
        <v>42339</v>
      </c>
      <c r="B97" s="199">
        <v>258577288000</v>
      </c>
      <c r="C97" s="199">
        <v>62913635000</v>
      </c>
      <c r="D97" s="199">
        <v>59366218000</v>
      </c>
      <c r="E97" s="199">
        <v>46543912000</v>
      </c>
    </row>
    <row ht="13.8" outlineLevel="0" r="98">
      <c r="A98" s="3">
        <v>42370</v>
      </c>
      <c r="B98" s="199">
        <v>38347828000</v>
      </c>
      <c r="C98" s="199">
        <v>63674586000</v>
      </c>
      <c r="D98" s="199">
        <v>4299414000</v>
      </c>
      <c r="E98" s="199">
        <v>46582826220</v>
      </c>
    </row>
    <row ht="13.8" outlineLevel="0" r="99">
      <c r="A99" s="3">
        <v>42401</v>
      </c>
      <c r="B99" s="199">
        <v>48997566000</v>
      </c>
      <c r="C99" s="199">
        <v>63755594000</v>
      </c>
      <c r="D99" s="199">
        <v>8660905000</v>
      </c>
      <c r="E99" s="199">
        <v>46582826220</v>
      </c>
    </row>
    <row ht="13.8" outlineLevel="0" r="100">
      <c r="A100" s="3">
        <v>42430</v>
      </c>
      <c r="B100" s="199">
        <v>70240587000</v>
      </c>
      <c r="C100" s="199">
        <v>63755595000</v>
      </c>
      <c r="D100" s="199">
        <v>13435396000</v>
      </c>
      <c r="E100" s="199">
        <v>46582826220</v>
      </c>
    </row>
    <row ht="13.8" outlineLevel="0" r="101">
      <c r="A101" s="3">
        <v>42461</v>
      </c>
      <c r="B101" s="199">
        <v>102068626000</v>
      </c>
      <c r="C101" s="199">
        <v>63663932000</v>
      </c>
      <c r="D101" s="199">
        <v>18465926000</v>
      </c>
      <c r="E101" s="199">
        <v>46582826220</v>
      </c>
    </row>
    <row ht="13.8" outlineLevel="0" r="102">
      <c r="A102" s="3">
        <v>42491</v>
      </c>
      <c r="B102" s="199">
        <v>116235731000</v>
      </c>
      <c r="C102" s="199">
        <v>63666050000</v>
      </c>
      <c r="D102" s="199">
        <v>23828360000</v>
      </c>
      <c r="E102" s="199">
        <v>46582826220</v>
      </c>
    </row>
    <row ht="13.8" outlineLevel="0" r="103">
      <c r="A103" s="3">
        <v>42522</v>
      </c>
      <c r="B103" s="199">
        <v>135459920000</v>
      </c>
      <c r="C103" s="199">
        <v>63666023000</v>
      </c>
      <c r="D103" s="199">
        <v>29022042000</v>
      </c>
      <c r="E103" s="199">
        <v>46582826220</v>
      </c>
    </row>
    <row ht="13.8" outlineLevel="0" r="104">
      <c r="A104" s="3">
        <v>42552</v>
      </c>
      <c r="B104" s="199">
        <v>156890299000</v>
      </c>
      <c r="C104" s="199">
        <v>63675488000</v>
      </c>
      <c r="D104" s="199">
        <v>33556843000</v>
      </c>
      <c r="E104" s="199">
        <v>46582826220</v>
      </c>
    </row>
    <row ht="13.8" outlineLevel="0" r="105">
      <c r="A105" s="3">
        <v>42583</v>
      </c>
      <c r="B105" s="199">
        <v>173705219000</v>
      </c>
      <c r="C105" s="199">
        <v>64119234000</v>
      </c>
      <c r="D105" s="199">
        <v>38398869000</v>
      </c>
      <c r="E105" s="199">
        <v>46582826220</v>
      </c>
    </row>
    <row ht="13.8" outlineLevel="0" r="106">
      <c r="A106" s="3">
        <v>42614</v>
      </c>
      <c r="B106" s="199">
        <v>191846015000</v>
      </c>
      <c r="C106" s="199">
        <v>64119498000</v>
      </c>
      <c r="D106" s="199">
        <v>43042503000</v>
      </c>
      <c r="E106" s="199">
        <v>46582826220</v>
      </c>
    </row>
    <row ht="13.8" outlineLevel="0" r="107">
      <c r="A107" s="3">
        <v>42644</v>
      </c>
      <c r="B107" s="199">
        <v>237363293000</v>
      </c>
      <c r="C107" s="199">
        <v>68101326000</v>
      </c>
      <c r="D107" s="199">
        <v>48066209000</v>
      </c>
      <c r="E107" s="199">
        <v>46582826220</v>
      </c>
    </row>
    <row ht="13.8" outlineLevel="0" r="108">
      <c r="A108" s="3">
        <v>42675</v>
      </c>
      <c r="B108" s="199">
        <v>247631825000</v>
      </c>
      <c r="C108" s="199">
        <v>68855215000</v>
      </c>
      <c r="D108" s="199">
        <v>54950159000</v>
      </c>
      <c r="E108" s="199">
        <v>46582826220</v>
      </c>
    </row>
    <row ht="13.8" outlineLevel="0" r="109">
      <c r="A109" s="3">
        <v>42705</v>
      </c>
      <c r="B109" s="199">
        <v>258793479000</v>
      </c>
      <c r="C109" s="199">
        <v>69041851000</v>
      </c>
      <c r="D109" s="199">
        <v>66693558000</v>
      </c>
      <c r="E109" s="199">
        <v>46582826220</v>
      </c>
    </row>
    <row ht="13.8" outlineLevel="0" r="110">
      <c r="A110" s="3">
        <v>42736</v>
      </c>
      <c r="B110" s="199">
        <v>40609798000</v>
      </c>
      <c r="C110" s="199">
        <v>62370058214.07</v>
      </c>
      <c r="D110" s="199">
        <v>4712612448.00793</v>
      </c>
      <c r="E110" s="199">
        <v>48980965118.2272</v>
      </c>
    </row>
    <row ht="13.8" outlineLevel="0" r="111">
      <c r="A111" s="3">
        <v>42767</v>
      </c>
      <c r="B111" s="199">
        <v>52736582000</v>
      </c>
      <c r="C111" s="199">
        <v>61873376513.22</v>
      </c>
      <c r="D111" s="199">
        <v>8766551458.91387</v>
      </c>
      <c r="E111" s="199">
        <v>48980965118.2272</v>
      </c>
    </row>
    <row ht="13.8" outlineLevel="0" r="112">
      <c r="A112" s="3">
        <v>42795</v>
      </c>
      <c r="B112" s="199">
        <v>74588181000</v>
      </c>
      <c r="C112" s="199">
        <v>61730800320.07</v>
      </c>
      <c r="D112" s="199">
        <v>13184060722.5842</v>
      </c>
      <c r="E112" s="199">
        <v>48980965118.2272</v>
      </c>
    </row>
    <row ht="13.8" outlineLevel="0" r="113">
      <c r="A113" s="3">
        <v>42826</v>
      </c>
      <c r="B113" s="199">
        <v>107093420000</v>
      </c>
      <c r="C113" s="199">
        <v>63429928592.75</v>
      </c>
      <c r="D113" s="199">
        <v>17548400130.727</v>
      </c>
      <c r="E113" s="199">
        <v>48980965118.2272</v>
      </c>
    </row>
    <row ht="13.8" outlineLevel="0" r="114">
      <c r="A114" s="3">
        <v>42856</v>
      </c>
      <c r="B114" s="199">
        <v>122970391000</v>
      </c>
      <c r="C114" s="199">
        <v>64322518162.07</v>
      </c>
      <c r="D114" s="199">
        <v>22549506697.2032</v>
      </c>
      <c r="E114" s="199">
        <v>48980965118.2272</v>
      </c>
    </row>
    <row ht="13.8" outlineLevel="0" r="115">
      <c r="A115" s="3">
        <v>42887</v>
      </c>
      <c r="B115" s="199">
        <v>143943751000</v>
      </c>
      <c r="C115" s="199">
        <v>64223979321.13</v>
      </c>
      <c r="D115" s="199">
        <v>27907112336.698</v>
      </c>
      <c r="E115" s="199">
        <v>48980965118.2272</v>
      </c>
    </row>
    <row ht="13.8" outlineLevel="0" r="116">
      <c r="A116" s="3">
        <v>42917</v>
      </c>
      <c r="B116" s="199">
        <v>164882592000</v>
      </c>
      <c r="C116" s="199">
        <v>64223916659.01</v>
      </c>
      <c r="D116" s="199">
        <v>32561603536.2086</v>
      </c>
      <c r="E116" s="199">
        <v>48980965118.2272</v>
      </c>
    </row>
    <row ht="13.8" outlineLevel="0" r="117">
      <c r="A117" s="3">
        <v>42948</v>
      </c>
      <c r="B117" s="199">
        <v>182599696000</v>
      </c>
      <c r="C117" s="199">
        <v>63821699886.02</v>
      </c>
      <c r="D117" s="199">
        <v>37225383144.8015</v>
      </c>
      <c r="E117" s="199">
        <v>48980965118.2272</v>
      </c>
    </row>
    <row ht="13.8" outlineLevel="0" r="118">
      <c r="A118" s="3">
        <v>42979</v>
      </c>
      <c r="B118" s="199">
        <v>202473038000</v>
      </c>
      <c r="C118" s="199">
        <v>63580924081.46</v>
      </c>
      <c r="D118" s="199">
        <v>41888421944.0289</v>
      </c>
      <c r="E118" s="199">
        <v>48980965118.2272</v>
      </c>
    </row>
    <row ht="13.8" outlineLevel="0" r="119">
      <c r="A119" s="3">
        <v>43009</v>
      </c>
      <c r="B119" s="199">
        <v>229232854000</v>
      </c>
      <c r="C119" s="199">
        <v>64263765955.91</v>
      </c>
      <c r="D119" s="199">
        <v>46526311654.6206</v>
      </c>
      <c r="E119" s="199">
        <v>48980965118.2272</v>
      </c>
    </row>
    <row ht="13.8" outlineLevel="0" r="120">
      <c r="A120" s="3">
        <v>43040</v>
      </c>
      <c r="B120" s="199">
        <v>249681584000</v>
      </c>
      <c r="C120" s="199">
        <v>64152945497.94</v>
      </c>
      <c r="D120" s="199">
        <v>53420538354.8674</v>
      </c>
      <c r="E120" s="199">
        <v>48980965118.2272</v>
      </c>
    </row>
    <row ht="13.8" outlineLevel="0" r="121">
      <c r="A121" s="3">
        <v>43070</v>
      </c>
      <c r="B121" s="199">
        <v>272116472879.04</v>
      </c>
      <c r="C121" s="199">
        <v>65110105393.71</v>
      </c>
      <c r="D121" s="199">
        <v>63197703532.7629</v>
      </c>
      <c r="E121" s="199">
        <v>48980965118.2272</v>
      </c>
    </row>
    <row ht="13.8" outlineLevel="0" r="122">
      <c r="A122" s="3">
        <v>43101</v>
      </c>
      <c r="B122" s="199">
        <v>45173550000</v>
      </c>
      <c r="C122" s="199">
        <v>64094849000</v>
      </c>
      <c r="D122" s="199">
        <v>4809512000</v>
      </c>
      <c r="E122" s="199">
        <v>50450393950</v>
      </c>
    </row>
    <row ht="13.8" outlineLevel="0" r="123">
      <c r="A123" s="3">
        <v>43132</v>
      </c>
      <c r="B123" s="199">
        <v>59061100000</v>
      </c>
      <c r="C123" s="199">
        <v>64094849000</v>
      </c>
      <c r="D123" s="199">
        <v>9114795000</v>
      </c>
      <c r="E123" s="199">
        <v>50450393950</v>
      </c>
    </row>
    <row ht="13.8" outlineLevel="0" r="124">
      <c r="A124" s="3">
        <v>43160</v>
      </c>
      <c r="B124" s="199">
        <v>82239533333.3333</v>
      </c>
      <c r="C124" s="199">
        <v>63494827000</v>
      </c>
      <c r="D124" s="199">
        <v>14075164000</v>
      </c>
      <c r="E124" s="199">
        <v>50450393950</v>
      </c>
    </row>
    <row ht="13.8" outlineLevel="0" r="125">
      <c r="A125" s="3">
        <v>43191</v>
      </c>
      <c r="B125" s="199">
        <v>117105405555.556</v>
      </c>
      <c r="C125" s="199">
        <v>66303269000</v>
      </c>
      <c r="D125" s="199">
        <v>18807589000</v>
      </c>
      <c r="E125" s="199">
        <v>50450393950</v>
      </c>
    </row>
    <row ht="13.8" outlineLevel="0" r="126">
      <c r="A126" s="3">
        <v>43221</v>
      </c>
      <c r="B126" s="199">
        <v>137838527777.778</v>
      </c>
      <c r="C126" s="199">
        <v>66389730000</v>
      </c>
      <c r="D126" s="199">
        <v>23574408000</v>
      </c>
      <c r="E126" s="199">
        <v>50450393950</v>
      </c>
    </row>
    <row ht="13.8" outlineLevel="0" r="127">
      <c r="A127" s="3">
        <v>43252</v>
      </c>
      <c r="B127" s="199">
        <v>156909294444</v>
      </c>
      <c r="C127" s="199">
        <v>66392096000</v>
      </c>
      <c r="D127" s="199">
        <v>29025020000</v>
      </c>
      <c r="E127" s="199">
        <v>50450393950</v>
      </c>
    </row>
    <row ht="13.8" outlineLevel="0" r="128">
      <c r="A128" s="3">
        <v>43282</v>
      </c>
      <c r="B128" s="199">
        <v>182106088888</v>
      </c>
      <c r="C128" s="199">
        <v>66389595000</v>
      </c>
      <c r="D128" s="199">
        <v>33924200000</v>
      </c>
      <c r="E128" s="199">
        <v>50450393950</v>
      </c>
    </row>
    <row ht="13.8" outlineLevel="0" r="129">
      <c r="A129" s="3">
        <v>43313</v>
      </c>
      <c r="B129" s="199">
        <v>198821126345.55</v>
      </c>
      <c r="C129" s="199">
        <v>66392096000</v>
      </c>
      <c r="D129" s="199">
        <v>38793371490.6574</v>
      </c>
      <c r="E129" s="199">
        <v>50450393950</v>
      </c>
    </row>
    <row ht="13.8" outlineLevel="0" r="130">
      <c r="A130" s="3">
        <v>43344</v>
      </c>
      <c r="B130" s="199">
        <v>223131103000</v>
      </c>
      <c r="C130" s="199">
        <v>66364600000</v>
      </c>
      <c r="D130" s="199">
        <v>43651768000</v>
      </c>
      <c r="E130" s="199">
        <v>50450393950</v>
      </c>
    </row>
    <row ht="13.8" outlineLevel="0" r="131">
      <c r="A131" s="3">
        <v>43374</v>
      </c>
      <c r="B131" s="199">
        <v>251203297206.99</v>
      </c>
      <c r="C131" s="199">
        <v>65962206332.64</v>
      </c>
      <c r="D131" s="199">
        <v>48626717382.3419</v>
      </c>
      <c r="E131" s="199">
        <v>50450393950</v>
      </c>
    </row>
    <row ht="13.8" outlineLevel="0" r="132">
      <c r="A132" s="3">
        <v>43405</v>
      </c>
      <c r="B132" s="199">
        <v>274838231739.14</v>
      </c>
      <c r="C132" s="199">
        <v>65960663842.14</v>
      </c>
      <c r="D132" s="199">
        <v>55796309439.3653</v>
      </c>
      <c r="E132" s="199">
        <v>50450393950</v>
      </c>
    </row>
    <row ht="13.8" outlineLevel="0" r="133">
      <c r="A133" s="3">
        <v>43435</v>
      </c>
      <c r="B133" s="199">
        <v>299181292621.94</v>
      </c>
      <c r="C133" s="199">
        <v>65992761035.7</v>
      </c>
      <c r="D133" s="199">
        <v>64429497187.469</v>
      </c>
      <c r="E133" s="199">
        <v>50450393950</v>
      </c>
    </row>
    <row ht="13.8" outlineLevel="0" r="134">
      <c r="A134" s="3">
        <v>43466</v>
      </c>
      <c r="B134" s="199">
        <v>46447028971.76</v>
      </c>
      <c r="C134" s="199">
        <v>70667110929.06</v>
      </c>
      <c r="D134" s="199">
        <v>4630705622.509</v>
      </c>
      <c r="E134" s="199">
        <v>52665166244.405</v>
      </c>
    </row>
    <row ht="13.8" outlineLevel="0" r="135">
      <c r="A135" s="3">
        <v>43497</v>
      </c>
      <c r="B135" s="199">
        <v>65820754057.3</v>
      </c>
      <c r="C135" s="199">
        <v>70667028180.5</v>
      </c>
      <c r="D135" s="199">
        <v>8796292102.782</v>
      </c>
      <c r="E135" s="199">
        <v>52665166244.405</v>
      </c>
    </row>
    <row ht="13.8" outlineLevel="0" r="136">
      <c r="A136" s="3">
        <v>43525</v>
      </c>
      <c r="B136" s="199">
        <v>89798964534.96</v>
      </c>
      <c r="C136" s="199">
        <v>70671007901.64</v>
      </c>
      <c r="D136" s="199">
        <v>13712852651.0565</v>
      </c>
      <c r="E136" s="199">
        <v>52665166244.405</v>
      </c>
    </row>
    <row ht="13.8" outlineLevel="0" r="137">
      <c r="A137" s="3">
        <v>43556</v>
      </c>
      <c r="B137" s="199">
        <v>127341687880.84</v>
      </c>
      <c r="C137" s="199">
        <v>70721675393.81</v>
      </c>
      <c r="D137" s="199">
        <v>18432952686.7595</v>
      </c>
      <c r="E137" s="199">
        <v>52665166244.405</v>
      </c>
    </row>
    <row ht="13.8" outlineLevel="0" r="138">
      <c r="A138" s="3">
        <v>43586</v>
      </c>
      <c r="B138" s="199">
        <v>147169211131.24</v>
      </c>
      <c r="C138" s="199">
        <v>70719769451.81</v>
      </c>
      <c r="D138" s="199">
        <v>22891250018.9092</v>
      </c>
      <c r="E138" s="199">
        <v>52665166244.405</v>
      </c>
    </row>
    <row ht="13.8" outlineLevel="0" r="139">
      <c r="A139" s="3">
        <v>43617</v>
      </c>
      <c r="B139" s="199">
        <v>167842606391.35</v>
      </c>
      <c r="C139" s="199">
        <v>70730102214.36</v>
      </c>
      <c r="D139" s="199">
        <v>28145072373.2638</v>
      </c>
      <c r="E139" s="199">
        <v>52665166244.405</v>
      </c>
    </row>
    <row ht="13.8" outlineLevel="0" r="140">
      <c r="A140" s="3">
        <v>43647</v>
      </c>
      <c r="B140" s="199">
        <v>196200466620.91</v>
      </c>
      <c r="C140" s="199">
        <v>70570259488.36</v>
      </c>
      <c r="D140" s="199">
        <v>32545793460.8187</v>
      </c>
      <c r="E140" s="199">
        <v>52665166244.405</v>
      </c>
    </row>
    <row ht="13.8" outlineLevel="0" r="141">
      <c r="A141" s="3">
        <v>43678</v>
      </c>
      <c r="B141" s="199">
        <v>217565552540.77</v>
      </c>
      <c r="C141" s="199">
        <v>70566647790.78</v>
      </c>
      <c r="D141" s="199">
        <v>36981093165.5812</v>
      </c>
      <c r="E141" s="199">
        <v>52665166244.405</v>
      </c>
    </row>
    <row ht="13.8" outlineLevel="0" r="142">
      <c r="A142" s="3">
        <v>43709</v>
      </c>
      <c r="B142" s="199">
        <v>239635919018.41</v>
      </c>
      <c r="C142" s="199">
        <v>68573691682.76</v>
      </c>
      <c r="D142" s="199">
        <v>41347356697.5548</v>
      </c>
      <c r="E142" s="199">
        <v>52665166244.405</v>
      </c>
    </row>
    <row ht="13.8" outlineLevel="0" r="143">
      <c r="A143" s="3">
        <v>43739</v>
      </c>
      <c r="B143" s="199">
        <v>271826193273.18</v>
      </c>
      <c r="C143" s="199">
        <v>66704315147.77</v>
      </c>
      <c r="D143" s="199">
        <v>45969433147.6111</v>
      </c>
      <c r="E143" s="199">
        <v>52665166244.405</v>
      </c>
    </row>
    <row ht="13.8" outlineLevel="0" r="144">
      <c r="A144" s="3">
        <v>43770</v>
      </c>
      <c r="B144" s="199">
        <v>297628671062.7</v>
      </c>
      <c r="C144" s="199">
        <v>66899462548.77</v>
      </c>
      <c r="D144" s="199">
        <v>53047401905.168</v>
      </c>
      <c r="E144" s="199">
        <v>52665166244.405</v>
      </c>
      <c r="H144" s="199"/>
    </row>
    <row ht="13.8" outlineLevel="0" r="145">
      <c r="A145" s="3">
        <v>43800</v>
      </c>
      <c r="B145" s="199">
        <v>322198864260.72</v>
      </c>
      <c r="C145" s="199">
        <v>67476321062.05</v>
      </c>
      <c r="D145" s="199">
        <v>63023432108.0159</v>
      </c>
      <c r="E145" s="199">
        <v>52665166244.405</v>
      </c>
      <c r="H145" s="199"/>
    </row>
    <row ht="13.8" outlineLevel="0" r="146">
      <c r="A146" s="3">
        <v>43831</v>
      </c>
      <c r="B146" s="199">
        <v>53671314824.19</v>
      </c>
      <c r="C146" s="199">
        <v>55454067427.07</v>
      </c>
      <c r="D146" s="199">
        <v>4196743470.708</v>
      </c>
      <c r="E146" s="199">
        <v>54439982346.8415</v>
      </c>
      <c r="H146" s="199"/>
    </row>
    <row ht="13.8" outlineLevel="0" r="147">
      <c r="A147" s="3">
        <v>43862</v>
      </c>
      <c r="B147" s="199">
        <v>69205240318.79</v>
      </c>
      <c r="C147" s="199">
        <v>55452578942.07</v>
      </c>
      <c r="D147" s="199">
        <v>8311648779.818</v>
      </c>
      <c r="E147" s="199">
        <v>54439982346.8415</v>
      </c>
    </row>
    <row ht="13.8" outlineLevel="0" r="148">
      <c r="A148" s="3">
        <v>43891</v>
      </c>
      <c r="B148" s="199">
        <v>93096678451.54</v>
      </c>
      <c r="C148" s="199">
        <v>55193067427.07</v>
      </c>
      <c r="D148" s="199">
        <v>12851105155.678</v>
      </c>
      <c r="E148" s="199">
        <v>54439982346.8415</v>
      </c>
    </row>
    <row ht="13.8" outlineLevel="0" r="149">
      <c r="A149" s="3">
        <v>43922</v>
      </c>
      <c r="B149" s="199">
        <v>120790883187.41</v>
      </c>
      <c r="C149" s="199">
        <v>54564330510.07</v>
      </c>
      <c r="D149" s="199">
        <v>17678349065.3827</v>
      </c>
      <c r="E149" s="199">
        <v>54439982346.8415</v>
      </c>
    </row>
    <row ht="13.8" outlineLevel="0" r="150">
      <c r="A150" s="3">
        <v>43952</v>
      </c>
      <c r="B150" s="199">
        <v>136125538495.86</v>
      </c>
      <c r="C150" s="199">
        <v>49449964334.57</v>
      </c>
      <c r="D150" s="199">
        <v>21407828089.5643</v>
      </c>
      <c r="E150" s="199">
        <v>54439982346.8415</v>
      </c>
    </row>
    <row ht="13.8" outlineLevel="0" r="151">
      <c r="A151" s="3">
        <v>43983</v>
      </c>
      <c r="B151" s="199">
        <v>159120794790.09</v>
      </c>
      <c r="C151" s="199">
        <v>50441852203.12</v>
      </c>
      <c r="D151" s="199">
        <v>25885964625.3756</v>
      </c>
      <c r="E151" s="199">
        <v>54439982346.8415</v>
      </c>
    </row>
    <row ht="13.8" outlineLevel="0" r="152">
      <c r="A152" s="3">
        <v>44013</v>
      </c>
      <c r="B152" s="199">
        <v>176216459030.46</v>
      </c>
      <c r="C152" s="199">
        <v>50439142207.12</v>
      </c>
      <c r="D152" s="199">
        <v>29488247158.9323</v>
      </c>
      <c r="E152" s="199">
        <v>54439982346.8415</v>
      </c>
    </row>
    <row ht="13.8" outlineLevel="0" r="153">
      <c r="A153" s="3">
        <v>44044</v>
      </c>
      <c r="B153" s="199">
        <v>191061538888.889</v>
      </c>
      <c r="C153" s="199">
        <v>50449954000</v>
      </c>
      <c r="D153" s="199">
        <v>32635616000</v>
      </c>
      <c r="E153" s="199">
        <v>54439982346.8415</v>
      </c>
    </row>
    <row ht="13.8" outlineLevel="0" r="154">
      <c r="A154" s="3">
        <v>44075</v>
      </c>
      <c r="B154" s="199">
        <v>216974224873.41</v>
      </c>
      <c r="C154" s="199">
        <v>71340175671.73</v>
      </c>
      <c r="D154" s="199">
        <v>44511430511.8476</v>
      </c>
      <c r="E154" s="199">
        <v>54439982346.8415</v>
      </c>
    </row>
    <row ht="13.8" outlineLevel="0" r="155">
      <c r="A155" s="3">
        <v>44105</v>
      </c>
      <c r="B155" s="199">
        <v>250430403622.87</v>
      </c>
      <c r="C155" s="199">
        <v>72196200188.23</v>
      </c>
      <c r="D155" s="199">
        <v>49377395332.2123</v>
      </c>
      <c r="E155" s="199">
        <v>54439982346.8415</v>
      </c>
    </row>
    <row ht="13.8" outlineLevel="0" r="156">
      <c r="A156" s="3">
        <v>44136</v>
      </c>
      <c r="B156" s="199">
        <v>277292321713.14</v>
      </c>
      <c r="C156" s="199">
        <v>72223704675.68</v>
      </c>
      <c r="D156" s="199">
        <v>56336830366.15</v>
      </c>
      <c r="E156" s="199">
        <v>54439982346.84</v>
      </c>
    </row>
    <row ht="13.8" outlineLevel="0" r="157">
      <c r="A157" s="3">
        <v>44166</v>
      </c>
      <c r="B157" s="199">
        <v>304520245345.21</v>
      </c>
      <c r="C157" s="199">
        <v>71415732000</v>
      </c>
      <c r="D157" s="199">
        <v>69259709000</v>
      </c>
      <c r="E157" s="199">
        <v>54439982346.8415</v>
      </c>
    </row>
    <row ht="13.8" outlineLevel="0" r="158">
      <c r="A158" s="3">
        <v>44197</v>
      </c>
      <c r="B158" s="199">
        <v>55547202753.59</v>
      </c>
      <c r="C158" s="199">
        <v>35924167305.82</v>
      </c>
      <c r="D158" s="199">
        <v>4740580112.71</v>
      </c>
      <c r="E158" s="199">
        <v>55599553970.8292</v>
      </c>
    </row>
    <row ht="13.8" outlineLevel="0" r="159">
      <c r="A159" s="3">
        <v>44228</v>
      </c>
      <c r="B159" s="199">
        <v>73674511381.63</v>
      </c>
      <c r="C159" s="199">
        <v>36213774055.88</v>
      </c>
      <c r="D159" s="199">
        <v>9419684407.459</v>
      </c>
      <c r="E159" s="199">
        <v>55599553970.8292</v>
      </c>
    </row>
    <row ht="13.8" outlineLevel="0" r="160">
      <c r="A160" s="3">
        <v>44256</v>
      </c>
      <c r="B160" s="199">
        <v>108724070035.7</v>
      </c>
      <c r="C160" s="199">
        <v>42024572190.66</v>
      </c>
      <c r="D160" s="199">
        <v>14357379941.0954</v>
      </c>
      <c r="E160" s="199">
        <v>55599553970.8292</v>
      </c>
    </row>
    <row ht="13.8" outlineLevel="0" r="161">
      <c r="A161" s="3">
        <v>44287</v>
      </c>
      <c r="B161" s="199">
        <v>149782458758.26</v>
      </c>
      <c r="C161" s="199">
        <v>77890817442.49</v>
      </c>
      <c r="D161" s="199">
        <v>19291925141.5248</v>
      </c>
      <c r="E161" s="199">
        <v>55599553970.8292</v>
      </c>
    </row>
    <row ht="13.8" outlineLevel="0" r="162">
      <c r="A162" s="3">
        <v>44317</v>
      </c>
      <c r="B162" s="199">
        <v>180786429473.75</v>
      </c>
      <c r="C162" s="199">
        <v>77898534769.04</v>
      </c>
      <c r="D162" s="199">
        <v>23837507162.5154</v>
      </c>
      <c r="E162" s="199">
        <v>55599553970.8292</v>
      </c>
    </row>
    <row ht="13.8" outlineLevel="0" r="163">
      <c r="A163" s="3">
        <v>44348</v>
      </c>
      <c r="B163" s="199">
        <v>210145296657.01</v>
      </c>
      <c r="C163" s="199">
        <v>78028548614.5</v>
      </c>
      <c r="D163" s="199">
        <v>31545695285.2157</v>
      </c>
      <c r="E163" s="199">
        <v>55599553970.8292</v>
      </c>
    </row>
    <row ht="13.8" outlineLevel="0" r="164">
      <c r="A164" s="3">
        <v>44378</v>
      </c>
      <c r="B164" s="199">
        <v>245901109656.78</v>
      </c>
      <c r="C164" s="199">
        <v>78084046031.09</v>
      </c>
      <c r="D164" s="199">
        <v>36927279379.217</v>
      </c>
      <c r="E164" s="199">
        <v>55599553970.8292</v>
      </c>
    </row>
    <row ht="13.8" outlineLevel="0" r="165">
      <c r="A165" s="3">
        <v>44409</v>
      </c>
      <c r="B165" s="199">
        <v>272382413667.95</v>
      </c>
      <c r="C165" s="199">
        <v>78124272691.63</v>
      </c>
      <c r="D165" s="199">
        <v>42506601224.722</v>
      </c>
      <c r="E165" s="199">
        <v>55599553970.8292</v>
      </c>
    </row>
    <row ht="13.8" outlineLevel="0" r="166">
      <c r="A166" s="3">
        <v>44440</v>
      </c>
      <c r="B166" s="1">
        <v>308823993238.08</v>
      </c>
      <c r="C166" s="1">
        <v>78868265705.03</v>
      </c>
      <c r="D166" s="1">
        <v>48304798938.0646</v>
      </c>
      <c r="E166" s="1">
        <v>55599553970.8292</v>
      </c>
    </row>
  </sheetData>
  <printOptions headings="false" gridLines="false" gridLinesSet="true" horizontalCentered="false" verticalCentered="false"/>
  <pageMargins left="0.511805555555555" right="0.511805555555555" top="0.315277777777778" bottom="0.315277777777778" header="0.315277777777778" footer="0.315277777777778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2010-06-28T11:58:40Z</dcterms:created>
  <dc:creator>STN</dc:creator>
  <dc:description/>
  <dc:language>pt-BR</dc:language>
  <cp:lastModifiedBy>X</cp:lastModifiedBy>
  <dcterms:modified xsi:type="dcterms:W3CDTF">2021-10-28T19:29:00Z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0x0101007CAF85F579D9C94D829ACD7F874C94AF</vt:lpwstr>
  </property>
</Properties>
</file>