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dylan\Desktop\QF605 (Fixed Income)\Project\"/>
    </mc:Choice>
  </mc:AlternateContent>
  <xr:revisionPtr revIDLastSave="0" documentId="13_ncr:1_{A5D7395B-D4E0-49D9-A7A2-708EA0F49E9F}" xr6:coauthVersionLast="47" xr6:coauthVersionMax="47" xr10:uidLastSave="{00000000-0000-0000-0000-000000000000}"/>
  <bookViews>
    <workbookView xWindow="-120" yWindow="-120" windowWidth="29040" windowHeight="17520" tabRatio="500" activeTab="3" xr2:uid="{00000000-000D-0000-FFFF-FFFF00000000}"/>
  </bookViews>
  <sheets>
    <sheet name="IRS" sheetId="1" r:id="rId1"/>
    <sheet name="OIS" sheetId="2" r:id="rId2"/>
    <sheet name="Swaption" sheetId="3" r:id="rId3"/>
    <sheet name="OIS V3" sheetId="5" r:id="rId4"/>
  </sheets>
  <calcPr calcId="191029" iterateDelta="1E-4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E13" i="5" l="1" a="1"/>
  <c r="E13" i="5"/>
  <c r="A11" i="5"/>
  <c r="C11" i="5" s="1"/>
  <c r="A12" i="5"/>
  <c r="C12" i="5" s="1"/>
  <c r="A33" i="5"/>
  <c r="C33" i="5" s="1"/>
  <c r="A32" i="5"/>
  <c r="C32" i="5" s="1"/>
  <c r="A31" i="5"/>
  <c r="C31" i="5" s="1"/>
  <c r="A30" i="5"/>
  <c r="C30" i="5" s="1"/>
  <c r="A29" i="5"/>
  <c r="C29" i="5" s="1"/>
  <c r="A28" i="5"/>
  <c r="C28" i="5" s="1"/>
  <c r="A27" i="5"/>
  <c r="C27" i="5" s="1"/>
  <c r="A26" i="5"/>
  <c r="C26" i="5" s="1"/>
  <c r="A25" i="5"/>
  <c r="C25" i="5" s="1"/>
  <c r="A24" i="5"/>
  <c r="C24" i="5" s="1"/>
  <c r="A23" i="5"/>
  <c r="C23" i="5" s="1"/>
  <c r="A22" i="5"/>
  <c r="C22" i="5" s="1"/>
  <c r="A21" i="5"/>
  <c r="C21" i="5" s="1"/>
  <c r="A20" i="5"/>
  <c r="C20" i="5" s="1"/>
  <c r="A19" i="5"/>
  <c r="C19" i="5" s="1"/>
  <c r="A18" i="5"/>
  <c r="C18" i="5" s="1"/>
  <c r="A17" i="5"/>
  <c r="C17" i="5" s="1"/>
  <c r="A16" i="5"/>
  <c r="C16" i="5" s="1"/>
  <c r="A15" i="5"/>
  <c r="C15" i="5" s="1"/>
  <c r="A14" i="5"/>
  <c r="C14" i="5" s="1"/>
  <c r="A13" i="5"/>
  <c r="C13" i="5" s="1"/>
  <c r="A10" i="5"/>
  <c r="C10" i="5" s="1"/>
  <c r="A9" i="5"/>
  <c r="C9" i="5" s="1"/>
  <c r="A8" i="5"/>
  <c r="C8" i="5" s="1"/>
  <c r="A7" i="5"/>
  <c r="C7" i="5" s="1"/>
  <c r="A6" i="5"/>
  <c r="C6" i="5" s="1"/>
  <c r="A5" i="5"/>
  <c r="C5" i="5" s="1"/>
  <c r="A4" i="5"/>
  <c r="C4" i="5" s="1"/>
  <c r="C3" i="5"/>
  <c r="G3" i="5" s="1"/>
  <c r="F3" i="5" s="1"/>
  <c r="J3" i="5" s="1"/>
  <c r="E33" i="5" a="1"/>
  <c r="E23" i="5" a="1"/>
  <c r="E18" i="5" a="1"/>
  <c r="E33" i="5" l="1"/>
  <c r="E23" i="5"/>
  <c r="E18" i="5"/>
  <c r="I3" i="5"/>
  <c r="K3" i="5" s="1"/>
  <c r="G4" i="5"/>
  <c r="J4" i="5" s="1"/>
  <c r="F4" i="5" l="1"/>
  <c r="I4" i="5" l="1"/>
  <c r="H4" i="5"/>
  <c r="F5" i="5" l="1"/>
  <c r="K4" i="5"/>
  <c r="H5" i="5"/>
  <c r="G5" i="5"/>
  <c r="I5" i="5"/>
  <c r="F6" i="5" l="1"/>
  <c r="K5" i="5"/>
  <c r="G6" i="5"/>
  <c r="H6" i="5"/>
  <c r="I6" i="5" s="1"/>
  <c r="F7" i="5" l="1"/>
  <c r="K6" i="5"/>
  <c r="G7" i="5"/>
  <c r="H7" i="5"/>
  <c r="I7" i="5" s="1"/>
  <c r="F8" i="5" l="1"/>
  <c r="K7" i="5"/>
  <c r="G8" i="5"/>
  <c r="H8" i="5"/>
  <c r="I8" i="5" s="1"/>
  <c r="F10" i="5" l="1"/>
  <c r="K8" i="5"/>
  <c r="F9" i="5"/>
  <c r="I9" i="5" s="1"/>
  <c r="K9" i="5" s="1"/>
  <c r="H10" i="5"/>
  <c r="I10" i="5" l="1"/>
  <c r="K10" i="5" s="1"/>
  <c r="F13" i="5"/>
  <c r="G10" i="5"/>
  <c r="G9" i="5"/>
  <c r="H9" i="5"/>
  <c r="F12" i="5" l="1"/>
  <c r="F11" i="5"/>
  <c r="I11" i="5" s="1"/>
  <c r="G13" i="5" l="1"/>
  <c r="M31" i="5" s="1"/>
  <c r="I12" i="5"/>
  <c r="H11" i="5"/>
  <c r="H13" i="5"/>
  <c r="I13" i="5" s="1"/>
  <c r="H12" i="5"/>
  <c r="G12" i="5"/>
  <c r="G11" i="5"/>
  <c r="F18" i="5" l="1"/>
  <c r="F16" i="5" s="1"/>
  <c r="I16" i="5" s="1"/>
  <c r="F17" i="5" l="1"/>
  <c r="F15" i="5"/>
  <c r="F14" i="5"/>
  <c r="I14" i="5" s="1"/>
  <c r="G17" i="5"/>
  <c r="H16" i="5" l="1"/>
  <c r="G16" i="5"/>
  <c r="I15" i="5"/>
  <c r="G18" i="5"/>
  <c r="M32" i="5" s="1"/>
  <c r="I17" i="5"/>
  <c r="G14" i="5"/>
  <c r="G15" i="5"/>
  <c r="H18" i="5"/>
  <c r="I18" i="5" s="1"/>
  <c r="H14" i="5"/>
  <c r="H17" i="5"/>
  <c r="H15" i="5"/>
  <c r="F23" i="5" l="1"/>
  <c r="F22" i="5" l="1"/>
  <c r="F21" i="5"/>
  <c r="F20" i="5"/>
  <c r="I20" i="5" s="1"/>
  <c r="F19" i="5"/>
  <c r="I19" i="5" s="1"/>
  <c r="G22" i="5" l="1"/>
  <c r="I21" i="5"/>
  <c r="G23" i="5"/>
  <c r="M33" i="5" s="1"/>
  <c r="I22" i="5"/>
  <c r="G21" i="5"/>
  <c r="G20" i="5"/>
  <c r="G19" i="5"/>
  <c r="H20" i="5"/>
  <c r="H21" i="5"/>
  <c r="H22" i="5"/>
  <c r="H19" i="5"/>
  <c r="H23" i="5"/>
  <c r="I23" i="5" l="1"/>
  <c r="F33" i="5"/>
  <c r="F24" i="5" l="1"/>
  <c r="I24" i="5" s="1"/>
  <c r="I33" i="5"/>
  <c r="F26" i="5"/>
  <c r="I26" i="5" s="1"/>
  <c r="F25" i="5"/>
  <c r="F28" i="5"/>
  <c r="I28" i="5" s="1"/>
  <c r="F27" i="5"/>
  <c r="I27" i="5" s="1"/>
  <c r="F30" i="5"/>
  <c r="I30" i="5" s="1"/>
  <c r="F29" i="5"/>
  <c r="I29" i="5" s="1"/>
  <c r="F31" i="5"/>
  <c r="I31" i="5" s="1"/>
  <c r="F32" i="5"/>
  <c r="G24" i="5" l="1"/>
  <c r="H24" i="5"/>
  <c r="G33" i="5"/>
  <c r="M34" i="5" s="1"/>
  <c r="I32" i="5"/>
  <c r="H25" i="5"/>
  <c r="I25" i="5"/>
  <c r="G28" i="5"/>
  <c r="H29" i="5"/>
  <c r="H27" i="5"/>
  <c r="H30" i="5"/>
  <c r="H32" i="5"/>
  <c r="H31" i="5"/>
  <c r="H26" i="5"/>
  <c r="H28" i="5"/>
  <c r="G30" i="5"/>
  <c r="G26" i="5"/>
  <c r="H33" i="5"/>
  <c r="G31" i="5"/>
  <c r="G32" i="5"/>
  <c r="G29" i="5"/>
  <c r="G27" i="5"/>
  <c r="G25" i="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<sst xmlns="http://schemas.openxmlformats.org/spreadsheetml/2006/main" count="124" uniqueCount="60">
  <si>
    <t>Tenor</t>
  </si>
  <si>
    <t>Product</t>
  </si>
  <si>
    <t>Rate</t>
  </si>
  <si>
    <t>6m</t>
  </si>
  <si>
    <t>LIBOR</t>
  </si>
  <si>
    <t>Day Count Convention</t>
  </si>
  <si>
    <t>30/360</t>
  </si>
  <si>
    <t>1y</t>
  </si>
  <si>
    <t>IRS</t>
  </si>
  <si>
    <t>Fixed Leg Freq</t>
  </si>
  <si>
    <t>Semi-annual</t>
  </si>
  <si>
    <t>2y</t>
  </si>
  <si>
    <t>Floating Leg Freq</t>
  </si>
  <si>
    <t>3y</t>
  </si>
  <si>
    <t>4y</t>
  </si>
  <si>
    <t>5y</t>
  </si>
  <si>
    <t>7y</t>
  </si>
  <si>
    <t>10y</t>
  </si>
  <si>
    <t>15y</t>
  </si>
  <si>
    <t>20y</t>
  </si>
  <si>
    <t>30y</t>
  </si>
  <si>
    <t>OIS</t>
  </si>
  <si>
    <t>O/N Leg Frequency</t>
  </si>
  <si>
    <t>Daily</t>
  </si>
  <si>
    <t>Fixed Leg Frequency</t>
  </si>
  <si>
    <t>Annual</t>
  </si>
  <si>
    <t>Lognormal Implied Volatility for IR Swaptions</t>
  </si>
  <si>
    <t>Strike (Forward + basis point)</t>
  </si>
  <si>
    <t>Expiry</t>
  </si>
  <si>
    <t>-200bps</t>
  </si>
  <si>
    <t>-150bps</t>
  </si>
  <si>
    <t>-100bps</t>
  </si>
  <si>
    <t>-50bps</t>
  </si>
  <si>
    <t>-25bps</t>
  </si>
  <si>
    <t>ATM</t>
  </si>
  <si>
    <t>+25bps</t>
  </si>
  <si>
    <t>+50bps</t>
  </si>
  <si>
    <t>+100bps</t>
  </si>
  <si>
    <t>+150bps</t>
  </si>
  <si>
    <t>+200bps</t>
  </si>
  <si>
    <t>1Y</t>
  </si>
  <si>
    <t>2Y</t>
  </si>
  <si>
    <t>3Y</t>
  </si>
  <si>
    <t>5Y</t>
  </si>
  <si>
    <t>10Y</t>
  </si>
  <si>
    <t>Rate (Given)</t>
  </si>
  <si>
    <t>NA</t>
  </si>
  <si>
    <t>f</t>
  </si>
  <si>
    <t>D(0,X)</t>
  </si>
  <si>
    <t>X (Tenor, Years)</t>
  </si>
  <si>
    <t>D(X-1,X)</t>
  </si>
  <si>
    <t>ΣD(0,X)</t>
  </si>
  <si>
    <t>STEP 1</t>
  </si>
  <si>
    <t>STEP 2</t>
  </si>
  <si>
    <t>STEP 3</t>
  </si>
  <si>
    <t>STEP 4</t>
  </si>
  <si>
    <t>PV</t>
  </si>
  <si>
    <t>Summation</t>
  </si>
  <si>
    <t>pv+Do</t>
  </si>
  <si>
    <t>Gaps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</si>
</sst>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0.000%"/>
    <numFmt numFmtId="165" formatCode="0.00000%"/>
    <numFmt numFmtId="166" formatCode="0.0000000%"/>
    <numFmt numFmtId="174" formatCode="_-* #,##0_-;\-* #,##0_-;_-* &quot;-&quot;??_-;_-@_-"/>
  </numFmts>
  <fonts count="8" x14ac:knownFonts="1">
    <font>
      <sz val="11"/>
      <color rgb="FF000000"/>
      <name val="Calibri"/>
      <family val="2"/>
      <charset val="1"/>
    </font>
    <font>
      <sz val="10"/>
      <name val="Arial"/>
    </font>
    <font>
      <b/>
      <u/>
      <sz val="11"/>
      <color rgb="FF000000"/>
      <name val="Calibri"/>
      <family val="2"/>
      <charset val="1"/>
    </font>
    <font>
      <b/>
      <sz val="11"/>
      <color rgb="FF000000"/>
      <name val="Calibri"/>
      <family val="2"/>
      <charset val="1"/>
    </font>
    <font>
      <i/>
      <sz val="11"/>
      <color rgb="FF000000"/>
      <name val="Calibri"/>
      <family val="2"/>
      <charset val="1"/>
    </font>
    <font>
      <b/>
      <i/>
      <sz val="11"/>
      <color rgb="FF000000"/>
      <name val="Calibri"/>
      <family val="2"/>
      <charset val="1"/>
    </font>
    <font>
      <sz val="10"/>
      <name val="Arial"/>
      <family val="2"/>
    </font>
    <font>
      <sz val="11"/>
      <color rgb="FF000000"/>
      <name val="Calibri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9" fontId="1" fillId="0" borderId="0" applyBorder="0" applyAlignment="0" applyProtection="0"/>
    <xf numFmtId="43" fontId="7" fillId="0" borderId="0" applyFont="0" applyFill="0" applyBorder="0" applyAlignment="0" applyProtection="0"/>
  </cellStyleXfs>
  <cellXfs count="17">
    <xf numFmtId="0" fontId="0" fillId="0" borderId="0" xfId="0"/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10" fontId="0" fillId="0" borderId="0" xfId="0" applyNumberFormat="1" applyAlignment="1">
      <alignment horizontal="center"/>
    </xf>
    <xf numFmtId="10" fontId="0" fillId="0" borderId="0" xfId="0" applyNumberFormat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4" fontId="0" fillId="0" borderId="0" xfId="0" applyNumberFormat="1" applyAlignment="1">
      <alignment horizontal="center"/>
    </xf>
    <xf numFmtId="0" fontId="2" fillId="0" borderId="0" xfId="0" applyFont="1"/>
    <xf numFmtId="0" fontId="5" fillId="0" borderId="0" xfId="0" applyFont="1" applyAlignment="1">
      <alignment horizontal="center"/>
    </xf>
    <xf numFmtId="165" fontId="1" fillId="0" borderId="0" xfId="1" applyNumberFormat="1"/>
    <xf numFmtId="165" fontId="0" fillId="0" borderId="0" xfId="0" applyNumberFormat="1"/>
    <xf numFmtId="165" fontId="6" fillId="0" borderId="0" xfId="1" applyNumberFormat="1" applyFont="1"/>
    <xf numFmtId="166" fontId="0" fillId="0" borderId="0" xfId="0" applyNumberFormat="1"/>
    <xf numFmtId="0" fontId="2" fillId="0" borderId="0" xfId="0" applyFont="1" applyAlignment="1">
      <alignment horizontal="center"/>
    </xf>
    <xf numFmtId="174" fontId="1" fillId="0" borderId="0" xfId="2" applyNumberFormat="1" applyFont="1"/>
    <xf numFmtId="165" fontId="1" fillId="2" borderId="0" xfId="1" applyNumberFormat="1" applyFill="1"/>
  </cellXfs>
  <cellStyles count="3">
    <cellStyle name="Comma" xfId="2" builtinId="3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23192</xdr:colOff>
      <xdr:row>3</xdr:row>
      <xdr:rowOff>159498</xdr:rowOff>
    </xdr:from>
    <xdr:to>
      <xdr:col>31</xdr:col>
      <xdr:colOff>395851</xdr:colOff>
      <xdr:row>17</xdr:row>
      <xdr:rowOff>77501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9A6ECA7-EEC7-463B-8214-FA5300F267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161013" y="730998"/>
          <a:ext cx="7720518" cy="2585003"/>
        </a:xfrm>
        <a:prstGeom prst="rect">
          <a:avLst/>
        </a:prstGeom>
      </xdr:spPr>
    </xdr:pic>
    <xdr:clientData/>
  </xdr:twoCellAnchor>
  <xdr:twoCellAnchor editAs="oneCell">
    <xdr:from>
      <xdr:col>11</xdr:col>
      <xdr:colOff>357928</xdr:colOff>
      <xdr:row>19</xdr:row>
      <xdr:rowOff>172750</xdr:rowOff>
    </xdr:from>
    <xdr:to>
      <xdr:col>13</xdr:col>
      <xdr:colOff>108858</xdr:colOff>
      <xdr:row>29</xdr:row>
      <xdr:rowOff>5707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511F6E9-39C6-2E81-308A-E772F289ED3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6744" t="51905" r="44433" b="19520"/>
        <a:stretch/>
      </xdr:blipFill>
      <xdr:spPr>
        <a:xfrm>
          <a:off x="8794357" y="3792250"/>
          <a:ext cx="1778394" cy="1737957"/>
        </a:xfrm>
        <a:prstGeom prst="rect">
          <a:avLst/>
        </a:prstGeom>
      </xdr:spPr>
    </xdr:pic>
    <xdr:clientData/>
  </xdr:twoCellAnchor>
  <xdr:twoCellAnchor editAs="oneCell">
    <xdr:from>
      <xdr:col>11</xdr:col>
      <xdr:colOff>217713</xdr:colOff>
      <xdr:row>3</xdr:row>
      <xdr:rowOff>136071</xdr:rowOff>
    </xdr:from>
    <xdr:to>
      <xdr:col>18</xdr:col>
      <xdr:colOff>598714</xdr:colOff>
      <xdr:row>19</xdr:row>
      <xdr:rowOff>83030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D6C36C6-8558-0276-FF22-FCDB58C759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654142" y="707571"/>
          <a:ext cx="5470072" cy="299495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2"/>
  <sheetViews>
    <sheetView zoomScaleNormal="100" workbookViewId="0"/>
  </sheetViews>
  <sheetFormatPr defaultColWidth="8.7109375" defaultRowHeight="15" x14ac:dyDescent="0.25"/>
  <cols>
    <col min="1" max="3" width="9.140625" style="2" customWidth="1"/>
    <col min="4" max="4" width="3.42578125" customWidth="1"/>
    <col min="5" max="5" width="21" style="2" customWidth="1"/>
    <col min="6" max="6" width="12.140625" style="2" customWidth="1"/>
  </cols>
  <sheetData>
    <row r="1" spans="1:6" x14ac:dyDescent="0.25">
      <c r="A1" s="1" t="s">
        <v>0</v>
      </c>
      <c r="B1" s="1" t="s">
        <v>1</v>
      </c>
      <c r="C1" s="1" t="s">
        <v>2</v>
      </c>
    </row>
    <row r="2" spans="1:6" x14ac:dyDescent="0.25">
      <c r="A2" s="2" t="s">
        <v>3</v>
      </c>
      <c r="B2" s="2" t="s">
        <v>4</v>
      </c>
      <c r="C2" s="3">
        <v>2.5000000000000001E-2</v>
      </c>
      <c r="D2" s="4"/>
      <c r="E2" s="5" t="s">
        <v>5</v>
      </c>
      <c r="F2" s="6" t="s">
        <v>6</v>
      </c>
    </row>
    <row r="3" spans="1:6" x14ac:dyDescent="0.25">
      <c r="A3" s="2" t="s">
        <v>7</v>
      </c>
      <c r="B3" s="2" t="s">
        <v>8</v>
      </c>
      <c r="C3" s="3">
        <v>2.8000000000000001E-2</v>
      </c>
      <c r="D3" s="4"/>
      <c r="E3" s="5" t="s">
        <v>9</v>
      </c>
      <c r="F3" s="6" t="s">
        <v>10</v>
      </c>
    </row>
    <row r="4" spans="1:6" x14ac:dyDescent="0.25">
      <c r="A4" s="2" t="s">
        <v>11</v>
      </c>
      <c r="B4" s="2" t="s">
        <v>8</v>
      </c>
      <c r="C4" s="3">
        <v>0.03</v>
      </c>
      <c r="D4" s="4"/>
      <c r="E4" s="5" t="s">
        <v>12</v>
      </c>
      <c r="F4" s="6" t="s">
        <v>10</v>
      </c>
    </row>
    <row r="5" spans="1:6" x14ac:dyDescent="0.25">
      <c r="A5" s="2" t="s">
        <v>13</v>
      </c>
      <c r="B5" s="2" t="s">
        <v>8</v>
      </c>
      <c r="C5" s="3">
        <v>3.15E-2</v>
      </c>
      <c r="D5" s="4"/>
    </row>
    <row r="6" spans="1:6" x14ac:dyDescent="0.25">
      <c r="A6" s="2" t="s">
        <v>14</v>
      </c>
      <c r="B6" s="2" t="s">
        <v>8</v>
      </c>
      <c r="C6" s="3">
        <v>3.2500000000000001E-2</v>
      </c>
      <c r="D6" s="4"/>
    </row>
    <row r="7" spans="1:6" x14ac:dyDescent="0.25">
      <c r="A7" s="2" t="s">
        <v>15</v>
      </c>
      <c r="B7" s="2" t="s">
        <v>8</v>
      </c>
      <c r="C7" s="3">
        <v>3.3000000000000002E-2</v>
      </c>
      <c r="D7" s="4"/>
    </row>
    <row r="8" spans="1:6" x14ac:dyDescent="0.25">
      <c r="A8" s="2" t="s">
        <v>16</v>
      </c>
      <c r="B8" s="2" t="s">
        <v>8</v>
      </c>
      <c r="C8" s="3">
        <v>3.5000000000000003E-2</v>
      </c>
      <c r="D8" s="4"/>
    </row>
    <row r="9" spans="1:6" x14ac:dyDescent="0.25">
      <c r="A9" s="2" t="s">
        <v>17</v>
      </c>
      <c r="B9" s="2" t="s">
        <v>8</v>
      </c>
      <c r="C9" s="3">
        <v>3.6999999999999998E-2</v>
      </c>
      <c r="D9" s="4"/>
    </row>
    <row r="10" spans="1:6" x14ac:dyDescent="0.25">
      <c r="A10" s="2" t="s">
        <v>18</v>
      </c>
      <c r="B10" s="2" t="s">
        <v>8</v>
      </c>
      <c r="C10" s="3">
        <v>0.04</v>
      </c>
      <c r="D10" s="4"/>
    </row>
    <row r="11" spans="1:6" x14ac:dyDescent="0.25">
      <c r="A11" s="2" t="s">
        <v>19</v>
      </c>
      <c r="B11" s="2" t="s">
        <v>8</v>
      </c>
      <c r="C11" s="3">
        <v>4.4999999999999998E-2</v>
      </c>
      <c r="D11" s="4"/>
    </row>
    <row r="12" spans="1:6" x14ac:dyDescent="0.25">
      <c r="A12" s="2" t="s">
        <v>20</v>
      </c>
      <c r="B12" s="2" t="s">
        <v>8</v>
      </c>
      <c r="C12" s="3">
        <v>0.05</v>
      </c>
      <c r="D12" s="4"/>
    </row>
  </sheetData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2"/>
  <sheetViews>
    <sheetView zoomScale="115" zoomScaleNormal="115" workbookViewId="0">
      <selection activeCell="C12" sqref="A1:C12"/>
    </sheetView>
  </sheetViews>
  <sheetFormatPr defaultColWidth="8.7109375" defaultRowHeight="15" x14ac:dyDescent="0.25"/>
  <cols>
    <col min="1" max="3" width="9.140625" style="2" customWidth="1"/>
    <col min="4" max="4" width="3.42578125" customWidth="1"/>
    <col min="5" max="5" width="21" style="2" customWidth="1"/>
    <col min="6" max="6" width="12.140625" style="2" customWidth="1"/>
  </cols>
  <sheetData>
    <row r="1" spans="1:6" x14ac:dyDescent="0.25">
      <c r="A1" s="1" t="s">
        <v>0</v>
      </c>
      <c r="B1" s="1" t="s">
        <v>1</v>
      </c>
      <c r="C1" s="1" t="s">
        <v>2</v>
      </c>
    </row>
    <row r="2" spans="1:6" x14ac:dyDescent="0.25">
      <c r="A2" s="2" t="s">
        <v>3</v>
      </c>
      <c r="B2" s="2" t="s">
        <v>21</v>
      </c>
      <c r="C2" s="7">
        <v>2.5000000000000001E-3</v>
      </c>
      <c r="E2" s="5" t="s">
        <v>5</v>
      </c>
      <c r="F2" s="6" t="s">
        <v>6</v>
      </c>
    </row>
    <row r="3" spans="1:6" x14ac:dyDescent="0.25">
      <c r="A3" s="2" t="s">
        <v>7</v>
      </c>
      <c r="B3" s="2" t="s">
        <v>21</v>
      </c>
      <c r="C3" s="7">
        <v>3.0000000000000001E-3</v>
      </c>
      <c r="E3" s="5" t="s">
        <v>22</v>
      </c>
      <c r="F3" s="6" t="s">
        <v>23</v>
      </c>
    </row>
    <row r="4" spans="1:6" x14ac:dyDescent="0.25">
      <c r="A4" s="2" t="s">
        <v>11</v>
      </c>
      <c r="B4" s="2" t="s">
        <v>21</v>
      </c>
      <c r="C4" s="7">
        <v>3.2499999999999999E-3</v>
      </c>
      <c r="E4" s="5" t="s">
        <v>24</v>
      </c>
      <c r="F4" s="6" t="s">
        <v>25</v>
      </c>
    </row>
    <row r="5" spans="1:6" x14ac:dyDescent="0.25">
      <c r="A5" s="2" t="s">
        <v>13</v>
      </c>
      <c r="B5" s="2" t="s">
        <v>21</v>
      </c>
      <c r="C5" s="7">
        <v>3.3500000000000001E-3</v>
      </c>
    </row>
    <row r="6" spans="1:6" x14ac:dyDescent="0.25">
      <c r="A6" s="2" t="s">
        <v>14</v>
      </c>
      <c r="B6" s="2" t="s">
        <v>21</v>
      </c>
      <c r="C6" s="7">
        <v>3.5000000000000001E-3</v>
      </c>
    </row>
    <row r="7" spans="1:6" x14ac:dyDescent="0.25">
      <c r="A7" s="2" t="s">
        <v>15</v>
      </c>
      <c r="B7" s="2" t="s">
        <v>21</v>
      </c>
      <c r="C7" s="7">
        <v>3.5999999999999999E-3</v>
      </c>
    </row>
    <row r="8" spans="1:6" x14ac:dyDescent="0.25">
      <c r="A8" s="2" t="s">
        <v>16</v>
      </c>
      <c r="B8" s="2" t="s">
        <v>21</v>
      </c>
      <c r="C8" s="7">
        <v>4.0000000000000001E-3</v>
      </c>
    </row>
    <row r="9" spans="1:6" x14ac:dyDescent="0.25">
      <c r="A9" s="2" t="s">
        <v>17</v>
      </c>
      <c r="B9" s="2" t="s">
        <v>21</v>
      </c>
      <c r="C9" s="7">
        <v>4.4999999999999997E-3</v>
      </c>
    </row>
    <row r="10" spans="1:6" x14ac:dyDescent="0.25">
      <c r="A10" s="2" t="s">
        <v>18</v>
      </c>
      <c r="B10" s="2" t="s">
        <v>21</v>
      </c>
      <c r="C10" s="7">
        <v>5.0000000000000001E-3</v>
      </c>
    </row>
    <row r="11" spans="1:6" x14ac:dyDescent="0.25">
      <c r="A11" s="2" t="s">
        <v>19</v>
      </c>
      <c r="B11" s="2" t="s">
        <v>21</v>
      </c>
      <c r="C11" s="7">
        <v>5.2500000000000003E-3</v>
      </c>
    </row>
    <row r="12" spans="1:6" x14ac:dyDescent="0.25">
      <c r="A12" s="2" t="s">
        <v>20</v>
      </c>
      <c r="B12" s="2" t="s">
        <v>21</v>
      </c>
      <c r="C12" s="7">
        <v>5.4999999999999997E-3</v>
      </c>
    </row>
  </sheetData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Y21"/>
  <sheetViews>
    <sheetView zoomScaleNormal="100" workbookViewId="0"/>
  </sheetViews>
  <sheetFormatPr defaultColWidth="8.7109375" defaultRowHeight="15" x14ac:dyDescent="0.25"/>
  <cols>
    <col min="1" max="1" width="9.140625" style="2" customWidth="1"/>
  </cols>
  <sheetData>
    <row r="1" spans="1:25" x14ac:dyDescent="0.25">
      <c r="A1" s="8" t="s">
        <v>26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</row>
    <row r="2" spans="1:25" x14ac:dyDescent="0.25">
      <c r="C2" s="14" t="s">
        <v>27</v>
      </c>
      <c r="D2" s="14"/>
      <c r="E2" s="14"/>
      <c r="F2" s="14"/>
      <c r="G2" s="14"/>
      <c r="H2" s="14"/>
      <c r="I2" s="14"/>
      <c r="J2" s="14"/>
      <c r="K2" s="14"/>
      <c r="L2" s="14"/>
      <c r="M2" s="14"/>
    </row>
    <row r="3" spans="1:25" x14ac:dyDescent="0.25">
      <c r="A3" s="5" t="s">
        <v>28</v>
      </c>
      <c r="B3" s="5" t="s">
        <v>0</v>
      </c>
      <c r="C3" s="9" t="s">
        <v>29</v>
      </c>
      <c r="D3" s="9" t="s">
        <v>30</v>
      </c>
      <c r="E3" s="9" t="s">
        <v>31</v>
      </c>
      <c r="F3" s="9" t="s">
        <v>32</v>
      </c>
      <c r="G3" s="9" t="s">
        <v>33</v>
      </c>
      <c r="H3" s="9" t="s">
        <v>34</v>
      </c>
      <c r="I3" s="9" t="s">
        <v>35</v>
      </c>
      <c r="J3" s="9" t="s">
        <v>36</v>
      </c>
      <c r="K3" s="9" t="s">
        <v>37</v>
      </c>
      <c r="L3" s="9" t="s">
        <v>38</v>
      </c>
      <c r="M3" s="9" t="s">
        <v>39</v>
      </c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</row>
    <row r="4" spans="1:25" x14ac:dyDescent="0.25">
      <c r="A4" s="2" t="s">
        <v>40</v>
      </c>
      <c r="B4" s="2" t="s">
        <v>40</v>
      </c>
      <c r="C4" s="2">
        <v>91.57</v>
      </c>
      <c r="D4" s="2">
        <v>62.03</v>
      </c>
      <c r="E4" s="2">
        <v>44.13</v>
      </c>
      <c r="F4" s="2">
        <v>31.224</v>
      </c>
      <c r="G4" s="2">
        <v>26.181999999999999</v>
      </c>
      <c r="H4" s="2">
        <v>22.5</v>
      </c>
      <c r="I4" s="2">
        <v>20.96</v>
      </c>
      <c r="J4" s="2">
        <v>21.4</v>
      </c>
      <c r="K4" s="2">
        <v>24.34</v>
      </c>
      <c r="L4" s="2">
        <v>27.488</v>
      </c>
      <c r="M4" s="2">
        <v>30.297000000000001</v>
      </c>
      <c r="N4" s="2"/>
      <c r="T4" s="2"/>
    </row>
    <row r="5" spans="1:25" x14ac:dyDescent="0.25">
      <c r="A5" s="2" t="s">
        <v>40</v>
      </c>
      <c r="B5" s="2" t="s">
        <v>41</v>
      </c>
      <c r="C5" s="2">
        <v>83.27</v>
      </c>
      <c r="D5" s="2">
        <v>61.24</v>
      </c>
      <c r="E5" s="2">
        <v>46.57</v>
      </c>
      <c r="F5" s="2">
        <v>35.807000000000002</v>
      </c>
      <c r="G5" s="2">
        <v>31.712</v>
      </c>
      <c r="H5" s="2">
        <v>28.72</v>
      </c>
      <c r="I5" s="2">
        <v>27.12</v>
      </c>
      <c r="J5" s="2">
        <v>26.84</v>
      </c>
      <c r="K5" s="2">
        <v>28.51</v>
      </c>
      <c r="L5" s="2">
        <v>31.024999999999999</v>
      </c>
      <c r="M5" s="2">
        <v>33.523000000000003</v>
      </c>
      <c r="N5" s="2"/>
      <c r="T5" s="2"/>
    </row>
    <row r="6" spans="1:25" x14ac:dyDescent="0.25">
      <c r="A6" s="2" t="s">
        <v>40</v>
      </c>
      <c r="B6" s="2" t="s">
        <v>42</v>
      </c>
      <c r="C6" s="2">
        <v>73.92</v>
      </c>
      <c r="D6" s="2">
        <v>56.87</v>
      </c>
      <c r="E6" s="2">
        <v>44.77</v>
      </c>
      <c r="F6" s="2">
        <v>35.744999999999997</v>
      </c>
      <c r="G6" s="2">
        <v>32.317</v>
      </c>
      <c r="H6" s="2">
        <v>29.78</v>
      </c>
      <c r="I6" s="2">
        <v>28.29</v>
      </c>
      <c r="J6" s="2">
        <v>27.8</v>
      </c>
      <c r="K6" s="2">
        <v>28.77</v>
      </c>
      <c r="L6" s="2">
        <v>30.725000000000001</v>
      </c>
      <c r="M6" s="2">
        <v>32.832999999999998</v>
      </c>
      <c r="N6" s="2"/>
      <c r="T6" s="2"/>
    </row>
    <row r="7" spans="1:25" x14ac:dyDescent="0.25">
      <c r="A7" s="2" t="s">
        <v>40</v>
      </c>
      <c r="B7" s="2" t="s">
        <v>43</v>
      </c>
      <c r="C7" s="2">
        <v>55.19</v>
      </c>
      <c r="D7" s="2">
        <v>44.64</v>
      </c>
      <c r="E7" s="2">
        <v>36.51</v>
      </c>
      <c r="F7" s="2">
        <v>30.242000000000001</v>
      </c>
      <c r="G7" s="2">
        <v>27.850999999999999</v>
      </c>
      <c r="H7" s="2">
        <v>26.07</v>
      </c>
      <c r="I7" s="2">
        <v>24.98</v>
      </c>
      <c r="J7" s="2">
        <v>24.56</v>
      </c>
      <c r="K7" s="2">
        <v>25.12</v>
      </c>
      <c r="L7" s="2">
        <v>26.536000000000001</v>
      </c>
      <c r="M7" s="2">
        <v>28.164999999999999</v>
      </c>
      <c r="N7" s="2"/>
      <c r="T7" s="2"/>
    </row>
    <row r="8" spans="1:25" x14ac:dyDescent="0.25">
      <c r="A8" s="2" t="s">
        <v>40</v>
      </c>
      <c r="B8" s="2" t="s">
        <v>44</v>
      </c>
      <c r="C8" s="2">
        <v>41.18</v>
      </c>
      <c r="D8" s="2">
        <v>35.04</v>
      </c>
      <c r="E8" s="2">
        <v>30.207000000000001</v>
      </c>
      <c r="F8" s="2">
        <v>26.619</v>
      </c>
      <c r="G8" s="2">
        <v>25.350999999999999</v>
      </c>
      <c r="H8" s="2">
        <v>24.47</v>
      </c>
      <c r="I8" s="2">
        <v>23.98</v>
      </c>
      <c r="J8" s="2">
        <v>23.82</v>
      </c>
      <c r="K8" s="2">
        <v>24.25</v>
      </c>
      <c r="L8" s="2">
        <v>25.204000000000001</v>
      </c>
      <c r="M8" s="2">
        <v>26.355</v>
      </c>
      <c r="N8" s="2"/>
      <c r="T8" s="2"/>
    </row>
    <row r="9" spans="1:25" x14ac:dyDescent="0.25">
      <c r="A9" s="2" t="s">
        <v>43</v>
      </c>
      <c r="B9" s="2" t="s">
        <v>40</v>
      </c>
      <c r="C9" s="2">
        <v>67.8</v>
      </c>
      <c r="D9" s="2">
        <v>49.09</v>
      </c>
      <c r="E9" s="2">
        <v>38.4</v>
      </c>
      <c r="F9" s="2">
        <v>31.484999999999999</v>
      </c>
      <c r="G9" s="2">
        <v>29.06</v>
      </c>
      <c r="H9" s="2">
        <v>27.26</v>
      </c>
      <c r="I9" s="2">
        <v>26.04</v>
      </c>
      <c r="J9" s="2">
        <v>25.32</v>
      </c>
      <c r="K9" s="2">
        <v>24.94</v>
      </c>
      <c r="L9" s="2">
        <v>25.32</v>
      </c>
      <c r="M9" s="2">
        <v>25.98</v>
      </c>
      <c r="N9" s="2"/>
      <c r="T9" s="2"/>
    </row>
    <row r="10" spans="1:25" x14ac:dyDescent="0.25">
      <c r="A10" s="2" t="s">
        <v>43</v>
      </c>
      <c r="B10" s="2" t="s">
        <v>41</v>
      </c>
      <c r="C10" s="2">
        <v>57.88</v>
      </c>
      <c r="D10" s="2">
        <v>46.41</v>
      </c>
      <c r="E10" s="2">
        <v>39.033000000000001</v>
      </c>
      <c r="F10" s="2">
        <v>33.652999999999999</v>
      </c>
      <c r="G10" s="2">
        <v>31.530999999999999</v>
      </c>
      <c r="H10" s="2">
        <v>29.83</v>
      </c>
      <c r="I10" s="2">
        <v>28.56</v>
      </c>
      <c r="J10" s="2">
        <v>27.65</v>
      </c>
      <c r="K10" s="2">
        <v>26.71</v>
      </c>
      <c r="L10" s="2">
        <v>26.54</v>
      </c>
      <c r="M10" s="2">
        <v>26.76</v>
      </c>
      <c r="N10" s="2"/>
      <c r="T10" s="2"/>
    </row>
    <row r="11" spans="1:25" x14ac:dyDescent="0.25">
      <c r="A11" s="2" t="s">
        <v>43</v>
      </c>
      <c r="B11" s="2" t="s">
        <v>42</v>
      </c>
      <c r="C11" s="2">
        <v>53.43</v>
      </c>
      <c r="D11" s="2">
        <v>44.44</v>
      </c>
      <c r="E11" s="2">
        <v>38.18</v>
      </c>
      <c r="F11" s="2">
        <v>33.436999999999998</v>
      </c>
      <c r="G11" s="2">
        <v>31.536000000000001</v>
      </c>
      <c r="H11" s="2">
        <v>29.98</v>
      </c>
      <c r="I11" s="2">
        <v>28.76</v>
      </c>
      <c r="J11" s="2">
        <v>27.82</v>
      </c>
      <c r="K11" s="2">
        <v>26.67</v>
      </c>
      <c r="L11" s="2">
        <v>26.2</v>
      </c>
      <c r="M11" s="2">
        <v>26.15</v>
      </c>
      <c r="N11" s="2"/>
      <c r="T11" s="2"/>
    </row>
    <row r="12" spans="1:25" x14ac:dyDescent="0.25">
      <c r="A12" s="2" t="s">
        <v>43</v>
      </c>
      <c r="B12" s="2" t="s">
        <v>43</v>
      </c>
      <c r="C12" s="2">
        <v>41.99</v>
      </c>
      <c r="D12" s="2">
        <v>36.524000000000001</v>
      </c>
      <c r="E12" s="2">
        <v>32.326000000000001</v>
      </c>
      <c r="F12" s="2">
        <v>29.004999999999999</v>
      </c>
      <c r="G12" s="2">
        <v>27.677</v>
      </c>
      <c r="H12" s="2">
        <v>26.6</v>
      </c>
      <c r="I12" s="2">
        <v>25.73</v>
      </c>
      <c r="J12" s="2">
        <v>25.02</v>
      </c>
      <c r="K12" s="2">
        <v>24.06</v>
      </c>
      <c r="L12" s="2">
        <v>23.57</v>
      </c>
      <c r="M12" s="2">
        <v>23.4</v>
      </c>
      <c r="N12" s="2"/>
      <c r="T12" s="2"/>
    </row>
    <row r="13" spans="1:25" x14ac:dyDescent="0.25">
      <c r="A13" s="2" t="s">
        <v>43</v>
      </c>
      <c r="B13" s="2" t="s">
        <v>44</v>
      </c>
      <c r="C13" s="2">
        <v>34.417000000000002</v>
      </c>
      <c r="D13" s="2">
        <v>30.948</v>
      </c>
      <c r="E13" s="2">
        <v>28.148</v>
      </c>
      <c r="F13" s="2">
        <v>25.954000000000001</v>
      </c>
      <c r="G13" s="2">
        <v>25.135999999999999</v>
      </c>
      <c r="H13" s="2">
        <v>24.51</v>
      </c>
      <c r="I13" s="2">
        <v>23.99</v>
      </c>
      <c r="J13" s="2">
        <v>23.56</v>
      </c>
      <c r="K13" s="2">
        <v>22.91</v>
      </c>
      <c r="L13" s="2">
        <v>22.49</v>
      </c>
      <c r="M13" s="2">
        <v>22.25</v>
      </c>
      <c r="N13" s="2"/>
      <c r="T13" s="2"/>
    </row>
    <row r="14" spans="1:25" x14ac:dyDescent="0.25">
      <c r="A14" s="2" t="s">
        <v>44</v>
      </c>
      <c r="B14" s="2" t="s">
        <v>40</v>
      </c>
      <c r="C14" s="2">
        <v>55.16</v>
      </c>
      <c r="D14" s="2">
        <v>44.32</v>
      </c>
      <c r="E14" s="2">
        <v>37.368000000000002</v>
      </c>
      <c r="F14" s="2">
        <v>32.259</v>
      </c>
      <c r="G14" s="2">
        <v>30.21</v>
      </c>
      <c r="H14" s="2">
        <v>28.54</v>
      </c>
      <c r="I14" s="2">
        <v>27.31</v>
      </c>
      <c r="J14" s="2">
        <v>26.45</v>
      </c>
      <c r="K14" s="2">
        <v>25.61</v>
      </c>
      <c r="L14" s="2">
        <v>25.52</v>
      </c>
      <c r="M14" s="2">
        <v>25.78</v>
      </c>
      <c r="N14" s="2"/>
      <c r="T14" s="2"/>
    </row>
    <row r="15" spans="1:25" x14ac:dyDescent="0.25">
      <c r="A15" s="2" t="s">
        <v>44</v>
      </c>
      <c r="B15" s="2" t="s">
        <v>41</v>
      </c>
      <c r="C15" s="2">
        <v>51.17</v>
      </c>
      <c r="D15" s="2">
        <v>42.9</v>
      </c>
      <c r="E15" s="2">
        <v>37.078000000000003</v>
      </c>
      <c r="F15" s="2">
        <v>32.622</v>
      </c>
      <c r="G15" s="2">
        <v>30.8</v>
      </c>
      <c r="H15" s="2">
        <v>29.28</v>
      </c>
      <c r="I15" s="2">
        <v>28.09</v>
      </c>
      <c r="J15" s="2">
        <v>27.2</v>
      </c>
      <c r="K15" s="2">
        <v>26.12</v>
      </c>
      <c r="L15" s="2">
        <v>25.72</v>
      </c>
      <c r="M15" s="2">
        <v>25.71</v>
      </c>
      <c r="N15" s="2"/>
      <c r="T15" s="2"/>
    </row>
    <row r="16" spans="1:25" x14ac:dyDescent="0.25">
      <c r="A16" s="2" t="s">
        <v>44</v>
      </c>
      <c r="B16" s="2" t="s">
        <v>42</v>
      </c>
      <c r="C16" s="2">
        <v>48.22</v>
      </c>
      <c r="D16" s="2">
        <v>41.43</v>
      </c>
      <c r="E16" s="2">
        <v>36.4</v>
      </c>
      <c r="F16" s="2">
        <v>32.439</v>
      </c>
      <c r="G16" s="2">
        <v>30.795999999999999</v>
      </c>
      <c r="H16" s="2">
        <v>29.4</v>
      </c>
      <c r="I16" s="2">
        <v>28.27</v>
      </c>
      <c r="J16" s="2">
        <v>27.38</v>
      </c>
      <c r="K16" s="2">
        <v>26.18</v>
      </c>
      <c r="L16" s="2">
        <v>25.58</v>
      </c>
      <c r="M16" s="2">
        <v>25.37</v>
      </c>
      <c r="N16" s="2"/>
      <c r="T16" s="2"/>
    </row>
    <row r="17" spans="1:20" x14ac:dyDescent="0.25">
      <c r="A17" s="2" t="s">
        <v>44</v>
      </c>
      <c r="B17" s="2" t="s">
        <v>43</v>
      </c>
      <c r="C17" s="2">
        <v>40.549999999999997</v>
      </c>
      <c r="D17" s="2">
        <v>35.890999999999998</v>
      </c>
      <c r="E17" s="2">
        <v>32.180999999999997</v>
      </c>
      <c r="F17" s="2">
        <v>29.143999999999998</v>
      </c>
      <c r="G17" s="2">
        <v>27.856999999999999</v>
      </c>
      <c r="H17" s="2">
        <v>26.74</v>
      </c>
      <c r="I17" s="2">
        <v>25.8</v>
      </c>
      <c r="J17" s="2">
        <v>25.02</v>
      </c>
      <c r="K17" s="2">
        <v>23.87</v>
      </c>
      <c r="L17" s="2">
        <v>23.17</v>
      </c>
      <c r="M17" s="2">
        <v>22.8</v>
      </c>
      <c r="N17" s="2"/>
      <c r="T17" s="2"/>
    </row>
    <row r="18" spans="1:20" x14ac:dyDescent="0.25">
      <c r="A18" s="2" t="s">
        <v>44</v>
      </c>
      <c r="B18" s="2" t="s">
        <v>44</v>
      </c>
      <c r="C18" s="2">
        <v>33.600999999999999</v>
      </c>
      <c r="D18" s="2">
        <v>30.509</v>
      </c>
      <c r="E18" s="2">
        <v>27.978000000000002</v>
      </c>
      <c r="F18" s="2">
        <v>25.925999999999998</v>
      </c>
      <c r="G18" s="2">
        <v>25.085999999999999</v>
      </c>
      <c r="H18" s="2">
        <v>24.37</v>
      </c>
      <c r="I18" s="2">
        <v>23.76</v>
      </c>
      <c r="J18" s="2">
        <v>23.24</v>
      </c>
      <c r="K18" s="2">
        <v>22.44</v>
      </c>
      <c r="L18" s="2">
        <v>21.9</v>
      </c>
      <c r="M18" s="2">
        <v>21.56</v>
      </c>
      <c r="N18" s="2"/>
      <c r="T18" s="2"/>
    </row>
    <row r="19" spans="1:20" x14ac:dyDescent="0.25"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T19" s="2"/>
    </row>
    <row r="20" spans="1:20" x14ac:dyDescent="0.25"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T20" s="2"/>
    </row>
    <row r="21" spans="1:20" x14ac:dyDescent="0.25"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T21" s="2"/>
    </row>
  </sheetData>
  <mergeCells count="1">
    <mergeCell ref="C2:M2"/>
  </mergeCells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65E069-50E9-4E6A-8FED-34E0FF828885}">
  <dimension ref="A1:M38"/>
  <sheetViews>
    <sheetView tabSelected="1" topLeftCell="A4" zoomScale="115" zoomScaleNormal="115" workbookViewId="0">
      <selection activeCell="G29" sqref="G29"/>
    </sheetView>
  </sheetViews>
  <sheetFormatPr defaultRowHeight="15" x14ac:dyDescent="0.25"/>
  <cols>
    <col min="1" max="3" width="12.7109375" customWidth="1"/>
    <col min="4" max="5" width="12.7109375" hidden="1" customWidth="1"/>
    <col min="6" max="11" width="12.7109375" customWidth="1"/>
    <col min="13" max="13" width="21.140625" bestFit="1" customWidth="1"/>
  </cols>
  <sheetData>
    <row r="1" spans="1:11" x14ac:dyDescent="0.25">
      <c r="F1" t="s">
        <v>52</v>
      </c>
      <c r="G1" t="s">
        <v>53</v>
      </c>
      <c r="H1" t="s">
        <v>54</v>
      </c>
      <c r="I1" t="s">
        <v>55</v>
      </c>
    </row>
    <row r="2" spans="1:11" x14ac:dyDescent="0.25">
      <c r="A2" t="s">
        <v>0</v>
      </c>
      <c r="B2" t="s">
        <v>49</v>
      </c>
      <c r="C2" t="s">
        <v>45</v>
      </c>
      <c r="D2" t="s">
        <v>59</v>
      </c>
      <c r="E2" t="s">
        <v>57</v>
      </c>
      <c r="F2" t="s">
        <v>48</v>
      </c>
      <c r="G2" t="s">
        <v>47</v>
      </c>
      <c r="H2" t="s">
        <v>51</v>
      </c>
      <c r="I2" t="s">
        <v>56</v>
      </c>
      <c r="J2" t="s">
        <v>50</v>
      </c>
      <c r="K2" t="s">
        <v>58</v>
      </c>
    </row>
    <row r="3" spans="1:11" x14ac:dyDescent="0.25">
      <c r="A3" t="s">
        <v>3</v>
      </c>
      <c r="B3">
        <v>0.5</v>
      </c>
      <c r="C3" s="10">
        <f>_xlfn.IFNA(VLOOKUP(A3,OIS!$A$1:$C$12,3,FALSE),"")</f>
        <v>2.5000000000000001E-3</v>
      </c>
      <c r="D3" s="15"/>
      <c r="E3" s="15"/>
      <c r="F3" s="10">
        <f>1/((1+G3/360)^180)</f>
        <v>0.99875156054931713</v>
      </c>
      <c r="G3" s="10">
        <f>((((C3*B3)+1)^(1/180))-1)*360</f>
        <v>2.4984474705913584E-3</v>
      </c>
      <c r="H3" s="12" t="s">
        <v>46</v>
      </c>
      <c r="I3" s="10">
        <f>F3*B3*C3</f>
        <v>1.2484394506866465E-3</v>
      </c>
      <c r="J3" s="10">
        <f>F3</f>
        <v>0.99875156054931713</v>
      </c>
      <c r="K3" s="10">
        <f>I3+F3</f>
        <v>1.0000000000000038</v>
      </c>
    </row>
    <row r="4" spans="1:11" x14ac:dyDescent="0.25">
      <c r="A4" t="str">
        <f>_xlfn.CONCAT(B4,"y")</f>
        <v>1y</v>
      </c>
      <c r="B4">
        <v>1</v>
      </c>
      <c r="C4" s="10">
        <f>_xlfn.IFNA(VLOOKUP(A4,OIS!$A$1:$C$12,3,FALSE),"")</f>
        <v>3.0000000000000001E-3</v>
      </c>
      <c r="D4" s="15"/>
      <c r="E4" s="15"/>
      <c r="F4" s="10">
        <f>PRODUCT(J3:J4)</f>
        <v>0.99700897308074909</v>
      </c>
      <c r="G4" s="10">
        <f>(((C4+1)/((1+G3/360)^(180)))^(1/180)-1)*360</f>
        <v>3.4925961006493367E-3</v>
      </c>
      <c r="H4" s="10">
        <f>SUM($F$4:F4)</f>
        <v>0.99700897308074909</v>
      </c>
      <c r="I4" s="10">
        <f>C4*F4</f>
        <v>2.9910269192422474E-3</v>
      </c>
      <c r="J4" s="10">
        <f>1/((1+G4/360)^180)</f>
        <v>0.99825523429709628</v>
      </c>
      <c r="K4" s="10">
        <f>I4+F4</f>
        <v>0.99999999999999134</v>
      </c>
    </row>
    <row r="5" spans="1:11" x14ac:dyDescent="0.25">
      <c r="A5" t="str">
        <f t="shared" ref="A5:A33" si="0">_xlfn.CONCAT(B5,"y")</f>
        <v>2y</v>
      </c>
      <c r="B5">
        <v>2</v>
      </c>
      <c r="C5" s="10">
        <f>_xlfn.IFNA(VLOOKUP(A5,OIS!$A$1:$C$12,3,FALSE),"")</f>
        <v>3.2499999999999999E-3</v>
      </c>
      <c r="D5" s="15"/>
      <c r="E5" s="15"/>
      <c r="F5" s="10">
        <f>(I4+(1-C5)*F4)/(1+C5)</f>
        <v>0.99353074591326085</v>
      </c>
      <c r="G5" s="10">
        <f>((F4/F5)^(1/360)-1)*360</f>
        <v>3.4947783831640322E-3</v>
      </c>
      <c r="H5" s="10">
        <f>SUM($F$4:F5)</f>
        <v>1.9905397189940099</v>
      </c>
      <c r="I5" s="10">
        <f>H5*C5</f>
        <v>6.4692540867305323E-3</v>
      </c>
      <c r="J5" s="10"/>
      <c r="K5" s="10">
        <f>I5+F5</f>
        <v>0.99999999999999134</v>
      </c>
    </row>
    <row r="6" spans="1:11" x14ac:dyDescent="0.25">
      <c r="A6" t="str">
        <f t="shared" si="0"/>
        <v>3y</v>
      </c>
      <c r="B6">
        <v>3</v>
      </c>
      <c r="C6" s="10">
        <f>_xlfn.IFNA(VLOOKUP(A6,OIS!$A$1:$C$12,3,FALSE),"")</f>
        <v>3.3500000000000001E-3</v>
      </c>
      <c r="D6" s="15"/>
      <c r="E6" s="15"/>
      <c r="F6" s="10">
        <f>(I5+(1-C6)*F5-C6*F4)/(C6+1)</f>
        <v>0.99001514121828027</v>
      </c>
      <c r="G6" s="10">
        <f>((F5/F6)^(1/360)-1)*360</f>
        <v>3.5447888626816138E-3</v>
      </c>
      <c r="H6" s="10">
        <f>SUM($F$4:F6)</f>
        <v>2.9805548602122904</v>
      </c>
      <c r="I6" s="10">
        <f>H6*C6</f>
        <v>9.9848587817111725E-3</v>
      </c>
      <c r="J6" s="10"/>
      <c r="K6" s="10">
        <f>I6+F6</f>
        <v>0.99999999999999145</v>
      </c>
    </row>
    <row r="7" spans="1:11" x14ac:dyDescent="0.25">
      <c r="A7" t="str">
        <f t="shared" si="0"/>
        <v>4y</v>
      </c>
      <c r="B7">
        <v>4</v>
      </c>
      <c r="C7" s="10">
        <f>_xlfn.IFNA(VLOOKUP(A7,OIS!$A$1:$C$12,3,FALSE),"")</f>
        <v>3.5000000000000001E-3</v>
      </c>
      <c r="D7" s="15"/>
      <c r="E7" s="15"/>
      <c r="F7" s="10">
        <f>(I6+F6-H6*C7)/(C7+1)</f>
        <v>0.98611664971524504</v>
      </c>
      <c r="G7" s="10">
        <f>((F6/F7)^(1/360)-1)*360</f>
        <v>3.9456051890507382E-3</v>
      </c>
      <c r="H7" s="10">
        <f>SUM($F$4:F7)</f>
        <v>3.9666715099275356</v>
      </c>
      <c r="I7" s="10">
        <f>H7*C7</f>
        <v>1.3883350284746375E-2</v>
      </c>
      <c r="J7" s="10"/>
      <c r="K7" s="10">
        <f>I7+F7</f>
        <v>0.99999999999999145</v>
      </c>
    </row>
    <row r="8" spans="1:11" x14ac:dyDescent="0.25">
      <c r="A8" t="str">
        <f t="shared" si="0"/>
        <v>5y</v>
      </c>
      <c r="B8">
        <v>5</v>
      </c>
      <c r="C8" s="10">
        <f>_xlfn.IFNA(VLOOKUP(A8,OIS!$A$1:$C$12,3,FALSE),"")</f>
        <v>3.5999999999999999E-3</v>
      </c>
      <c r="D8" s="15"/>
      <c r="E8" s="15"/>
      <c r="F8" s="10">
        <f>(I7+F7-H7*C8)/(C8+1)</f>
        <v>0.98218411973321273</v>
      </c>
      <c r="G8" s="10">
        <f>((F7/F8)^(1/360)-1)*360</f>
        <v>3.9958903644343735E-3</v>
      </c>
      <c r="H8" s="10">
        <f>SUM($F$4:F8)</f>
        <v>4.9488556296607484</v>
      </c>
      <c r="I8" s="10">
        <f>H8*C8</f>
        <v>1.7815880266778696E-2</v>
      </c>
      <c r="J8" s="10"/>
      <c r="K8" s="10">
        <f>I8+F8</f>
        <v>0.99999999999999145</v>
      </c>
    </row>
    <row r="9" spans="1:11" x14ac:dyDescent="0.25">
      <c r="A9" t="str">
        <f>_xlfn.CONCAT(B9,"y")</f>
        <v>6y</v>
      </c>
      <c r="B9">
        <v>6</v>
      </c>
      <c r="C9" s="10" t="str">
        <f>_xlfn.IFNA(VLOOKUP(A9,OIS!$A$1:$C$12,3,FALSE),"")</f>
        <v/>
      </c>
      <c r="D9" s="15"/>
      <c r="E9" s="15"/>
      <c r="F9" s="10">
        <f>(F8+F10)/2</f>
        <v>0.97729494716376442</v>
      </c>
      <c r="G9" s="10">
        <f t="shared" ref="G9" si="1">((F8/F9)^(1/360)-1)*360</f>
        <v>4.9903228722136816E-3</v>
      </c>
      <c r="H9" s="10">
        <f>SUM($F$4:F9)</f>
        <v>5.9261505768245133</v>
      </c>
      <c r="I9" s="10">
        <f>1-F9</f>
        <v>2.2705052836235584E-2</v>
      </c>
      <c r="J9" s="10"/>
      <c r="K9" s="10">
        <f>I9+F9</f>
        <v>1</v>
      </c>
    </row>
    <row r="10" spans="1:11" x14ac:dyDescent="0.25">
      <c r="A10" t="str">
        <f t="shared" si="0"/>
        <v>7y</v>
      </c>
      <c r="B10">
        <v>7</v>
      </c>
      <c r="C10" s="10">
        <f>_xlfn.IFNA(VLOOKUP(A10,OIS!$A$1:$C$12,3,FALSE),"")</f>
        <v>4.0000000000000001E-3</v>
      </c>
      <c r="D10" s="15"/>
      <c r="E10" s="15"/>
      <c r="F10" s="16">
        <f>((I8+F8-(H8+0.5*F8)*C10)/(C10+1))/(1+(C10/(2*C10+2)))</f>
        <v>0.9724057745943161</v>
      </c>
      <c r="G10" s="16">
        <f>((F9/F10)^(1/360)-1)*360</f>
        <v>5.015351145907232E-3</v>
      </c>
      <c r="H10" s="10">
        <f>SUM($F$4:F10)</f>
        <v>6.8985563514188293</v>
      </c>
      <c r="I10" s="10">
        <f t="shared" ref="I10:I23" si="2">H10*C10</f>
        <v>2.7594225405675316E-2</v>
      </c>
      <c r="J10" s="10"/>
      <c r="K10" s="10">
        <f>I10+F10</f>
        <v>0.99999999999999145</v>
      </c>
    </row>
    <row r="11" spans="1:11" x14ac:dyDescent="0.25">
      <c r="A11" t="str">
        <f t="shared" si="0"/>
        <v>8y</v>
      </c>
      <c r="B11">
        <v>8</v>
      </c>
      <c r="C11" s="10" t="str">
        <f>_xlfn.IFNA(VLOOKUP(A11,OIS!$A$1:$C$12,3,FALSE),"")</f>
        <v/>
      </c>
      <c r="D11" s="15"/>
      <c r="E11" s="15"/>
      <c r="F11" s="10">
        <f ca="1">F13+((F10-F13)/3)*2</f>
        <v>0.96692947590494571</v>
      </c>
      <c r="G11" s="10">
        <f t="shared" ref="G11:G33" ca="1" si="3">((F10/F11)^(1/360)-1)*360</f>
        <v>5.6476632389923509E-3</v>
      </c>
      <c r="H11" s="10">
        <f ca="1">SUM($F$4:F11)</f>
        <v>7.8654858273237753</v>
      </c>
      <c r="I11" s="10">
        <f ca="1">1-F11</f>
        <v>3.3070524095054288E-2</v>
      </c>
      <c r="J11" s="10"/>
      <c r="K11" s="10"/>
    </row>
    <row r="12" spans="1:11" x14ac:dyDescent="0.25">
      <c r="A12" t="str">
        <f t="shared" si="0"/>
        <v>9y</v>
      </c>
      <c r="B12">
        <v>9</v>
      </c>
      <c r="C12" s="10" t="str">
        <f>_xlfn.IFNA(VLOOKUP(A12,OIS!$A$1:$C$12,3,FALSE),"")</f>
        <v/>
      </c>
      <c r="D12" s="15"/>
      <c r="E12" s="15"/>
      <c r="F12" s="10">
        <f ca="1">F13+((F10-F13)/3)</f>
        <v>0.96145317721557544</v>
      </c>
      <c r="G12" s="10">
        <f t="shared" ca="1" si="3"/>
        <v>5.6797405868103112E-3</v>
      </c>
      <c r="H12" s="10">
        <f ca="1">SUM($F$4:F12)</f>
        <v>8.8269390045393514</v>
      </c>
      <c r="I12" s="10">
        <f ca="1">1-F12</f>
        <v>3.8546822784424561E-2</v>
      </c>
      <c r="J12" s="10"/>
      <c r="K12" s="10"/>
    </row>
    <row r="13" spans="1:11" x14ac:dyDescent="0.25">
      <c r="A13" t="str">
        <f t="shared" si="0"/>
        <v>10y</v>
      </c>
      <c r="B13">
        <v>10</v>
      </c>
      <c r="C13" s="10">
        <f>_xlfn.IFNA(VLOOKUP(A13,OIS!$A$1:$C$12,3,FALSE),"")</f>
        <v>4.4999999999999997E-3</v>
      </c>
      <c r="D13" s="15">
        <v>2</v>
      </c>
      <c r="E13" s="15" cm="1">
        <f t="array" aca="1" ref="E13" ca="1">SUM(ROW(INDIRECT("1:" &amp; D13)))</f>
        <v>3</v>
      </c>
      <c r="F13" s="16">
        <f ca="1">((1-C13*(H10+F10*D13-(F10/(D13+1))*(E13)))/(C13+1))/(1+((E13*C13)/((C13+1)*(D13+1))))</f>
        <v>0.95597687852620505</v>
      </c>
      <c r="G13" s="16">
        <f t="shared" ca="1" si="3"/>
        <v>5.712184400126219E-3</v>
      </c>
      <c r="H13" s="10">
        <f ca="1">SUM($F$4:F13)</f>
        <v>9.7829158830655558</v>
      </c>
      <c r="I13" s="10">
        <f t="shared" ca="1" si="2"/>
        <v>4.4023121473794995E-2</v>
      </c>
      <c r="J13" s="10"/>
      <c r="K13" s="10"/>
    </row>
    <row r="14" spans="1:11" x14ac:dyDescent="0.25">
      <c r="A14" t="str">
        <f t="shared" si="0"/>
        <v>11y</v>
      </c>
      <c r="B14">
        <v>11</v>
      </c>
      <c r="C14" s="10" t="str">
        <f>_xlfn.IFNA(VLOOKUP(A14,OIS!$A$1:$C$12,3,FALSE),"")</f>
        <v/>
      </c>
      <c r="D14" s="15"/>
      <c r="E14" s="15"/>
      <c r="F14" s="10">
        <f ca="1">F18+((F13-F18)/5)*4</f>
        <v>0.95030379874203008</v>
      </c>
      <c r="G14" s="10">
        <f t="shared" ca="1" si="3"/>
        <v>5.9520546976710165E-3</v>
      </c>
      <c r="H14" s="10">
        <f ca="1">SUM($F$4:F14)</f>
        <v>10.733219681807586</v>
      </c>
      <c r="I14" s="10">
        <f t="shared" ref="I14:I17" ca="1" si="4">1-F14</f>
        <v>4.9696201257969919E-2</v>
      </c>
      <c r="J14" s="10"/>
      <c r="K14" s="10"/>
    </row>
    <row r="15" spans="1:11" x14ac:dyDescent="0.25">
      <c r="A15" t="str">
        <f t="shared" si="0"/>
        <v>12y</v>
      </c>
      <c r="B15">
        <v>12</v>
      </c>
      <c r="C15" s="10" t="str">
        <f>_xlfn.IFNA(VLOOKUP(A15,OIS!$A$1:$C$12,3,FALSE),"")</f>
        <v/>
      </c>
      <c r="D15" s="15"/>
      <c r="E15" s="15"/>
      <c r="F15" s="10">
        <f ca="1">F18+((F13-F18)/5)*3</f>
        <v>0.94463071895785511</v>
      </c>
      <c r="G15" s="10">
        <f t="shared" ca="1" si="3"/>
        <v>5.9876938850322858E-3</v>
      </c>
      <c r="H15" s="10">
        <f ca="1">SUM($F$4:F15)</f>
        <v>11.677850400765442</v>
      </c>
      <c r="I15" s="10">
        <f t="shared" ca="1" si="4"/>
        <v>5.5369281042144891E-2</v>
      </c>
      <c r="J15" s="10"/>
      <c r="K15" s="10"/>
    </row>
    <row r="16" spans="1:11" x14ac:dyDescent="0.25">
      <c r="A16" t="str">
        <f t="shared" si="0"/>
        <v>13y</v>
      </c>
      <c r="B16">
        <v>13</v>
      </c>
      <c r="C16" s="10" t="str">
        <f>_xlfn.IFNA(VLOOKUP(A16,OIS!$A$1:$C$12,3,FALSE),"")</f>
        <v/>
      </c>
      <c r="D16" s="15"/>
      <c r="E16" s="15"/>
      <c r="F16" s="10">
        <f ca="1">F18+((F13-F18)/5)*2</f>
        <v>0.93895763917368025</v>
      </c>
      <c r="G16" s="10">
        <f t="shared" ca="1" si="3"/>
        <v>6.0237624389358757E-3</v>
      </c>
      <c r="H16" s="10">
        <f ca="1">SUM($F$4:F16)</f>
        <v>12.616808039939121</v>
      </c>
      <c r="I16" s="10">
        <f t="shared" ca="1" si="4"/>
        <v>6.1042360826319753E-2</v>
      </c>
      <c r="J16" s="10"/>
      <c r="K16" s="10"/>
    </row>
    <row r="17" spans="1:13" x14ac:dyDescent="0.25">
      <c r="A17" t="str">
        <f t="shared" si="0"/>
        <v>14y</v>
      </c>
      <c r="B17">
        <v>14</v>
      </c>
      <c r="C17" s="10" t="str">
        <f>_xlfn.IFNA(VLOOKUP(A17,OIS!$A$1:$C$12,3,FALSE),"")</f>
        <v/>
      </c>
      <c r="D17" s="15"/>
      <c r="E17" s="15"/>
      <c r="F17" s="10">
        <f ca="1">F18+((F13-F18)/5)</f>
        <v>0.93328455938950527</v>
      </c>
      <c r="G17" s="10">
        <f t="shared" ca="1" si="3"/>
        <v>6.0602681657773161E-3</v>
      </c>
      <c r="H17" s="10">
        <f ca="1">SUM($F$4:F17)</f>
        <v>13.550092599328627</v>
      </c>
      <c r="I17" s="10">
        <f t="shared" ca="1" si="4"/>
        <v>6.6715440610494725E-2</v>
      </c>
      <c r="J17" s="10"/>
      <c r="K17" s="10"/>
    </row>
    <row r="18" spans="1:13" x14ac:dyDescent="0.25">
      <c r="A18" t="str">
        <f t="shared" si="0"/>
        <v>15y</v>
      </c>
      <c r="B18">
        <v>15</v>
      </c>
      <c r="C18" s="10">
        <f>_xlfn.IFNA(VLOOKUP(A18,OIS!$A$1:$C$12,3,FALSE),"")</f>
        <v>5.0000000000000001E-3</v>
      </c>
      <c r="D18" s="15">
        <v>4</v>
      </c>
      <c r="E18" s="15" cm="1">
        <f t="array" aca="1" ref="E18" ca="1">SUM(ROW(INDIRECT("1:" &amp; D18)))</f>
        <v>10</v>
      </c>
      <c r="F18" s="16">
        <f ca="1">((1-C18*(H13+F13*D18-(F13/(D18+1))*(E18)))/(C18+1))/(1+((E18*C18)/((C18+1)*(D18+1))))</f>
        <v>0.9276114796053303</v>
      </c>
      <c r="G18" s="16">
        <f t="shared" ca="1" si="3"/>
        <v>6.0972190621200184E-3</v>
      </c>
      <c r="H18" s="10">
        <f ca="1">SUM($F$4:F18)</f>
        <v>14.477704078933957</v>
      </c>
      <c r="I18" s="10">
        <f t="shared" ca="1" si="2"/>
        <v>7.2388520394669795E-2</v>
      </c>
      <c r="J18" s="10"/>
      <c r="K18" s="10"/>
    </row>
    <row r="19" spans="1:13" x14ac:dyDescent="0.25">
      <c r="A19" t="str">
        <f t="shared" si="0"/>
        <v>16y</v>
      </c>
      <c r="B19">
        <v>16</v>
      </c>
      <c r="C19" s="10" t="str">
        <f>_xlfn.IFNA(VLOOKUP(A19,OIS!$A$1:$C$12,3,FALSE),"")</f>
        <v/>
      </c>
      <c r="D19" s="15"/>
      <c r="E19" s="15"/>
      <c r="F19" s="10">
        <f ca="1">F23+((F18-F23)/5)*4</f>
        <v>0.92210437109253218</v>
      </c>
      <c r="G19" s="10">
        <f t="shared" ca="1" si="3"/>
        <v>5.9546122483222774E-3</v>
      </c>
      <c r="H19" s="10">
        <f ca="1">SUM($F$4:F19)</f>
        <v>15.399808450026489</v>
      </c>
      <c r="I19" s="10">
        <f t="shared" ref="I19:I22" ca="1" si="5">1-F19</f>
        <v>7.7895628907467818E-2</v>
      </c>
      <c r="J19" s="10"/>
      <c r="K19" s="10"/>
    </row>
    <row r="20" spans="1:13" x14ac:dyDescent="0.25">
      <c r="A20" t="str">
        <f t="shared" si="0"/>
        <v>17y</v>
      </c>
      <c r="B20">
        <v>17</v>
      </c>
      <c r="C20" s="10" t="str">
        <f>_xlfn.IFNA(VLOOKUP(A20,OIS!$A$1:$C$12,3,FALSE),"")</f>
        <v/>
      </c>
      <c r="D20" s="15"/>
      <c r="E20" s="15"/>
      <c r="F20" s="10">
        <f ca="1">F23+((F18-F23)/5)*3</f>
        <v>0.91659726257973406</v>
      </c>
      <c r="G20" s="10">
        <f t="shared" ca="1" si="3"/>
        <v>5.9902821619051139E-3</v>
      </c>
      <c r="H20" s="10">
        <f ca="1">SUM($F$4:F20)</f>
        <v>16.316405712606223</v>
      </c>
      <c r="I20" s="10">
        <f t="shared" ca="1" si="5"/>
        <v>8.3402737420265938E-2</v>
      </c>
      <c r="J20" s="10"/>
      <c r="K20" s="10"/>
    </row>
    <row r="21" spans="1:13" x14ac:dyDescent="0.25">
      <c r="A21" t="str">
        <f t="shared" si="0"/>
        <v>18y</v>
      </c>
      <c r="B21">
        <v>18</v>
      </c>
      <c r="C21" s="10" t="str">
        <f>_xlfn.IFNA(VLOOKUP(A21,OIS!$A$1:$C$12,3,FALSE),"")</f>
        <v/>
      </c>
      <c r="D21" s="15"/>
      <c r="E21" s="15"/>
      <c r="F21" s="10">
        <f ca="1">F23+((F18-F23)/5)*2</f>
        <v>0.91109015406693583</v>
      </c>
      <c r="G21" s="10">
        <f t="shared" ca="1" si="3"/>
        <v>6.0263819991046574E-3</v>
      </c>
      <c r="H21" s="10">
        <f ca="1">SUM($F$4:F21)</f>
        <v>17.227495866673159</v>
      </c>
      <c r="I21" s="10">
        <f t="shared" ca="1" si="5"/>
        <v>8.8909845933064169E-2</v>
      </c>
      <c r="J21" s="10"/>
      <c r="K21" s="10"/>
    </row>
    <row r="22" spans="1:13" x14ac:dyDescent="0.25">
      <c r="A22" t="str">
        <f t="shared" si="0"/>
        <v>19y</v>
      </c>
      <c r="B22">
        <v>19</v>
      </c>
      <c r="C22" s="10" t="str">
        <f>_xlfn.IFNA(VLOOKUP(A22,OIS!$A$1:$C$12,3,FALSE),"")</f>
        <v/>
      </c>
      <c r="D22" s="15"/>
      <c r="E22" s="15"/>
      <c r="F22" s="10">
        <f ca="1">F23+((F18-F23)/5)</f>
        <v>0.90558304555413771</v>
      </c>
      <c r="G22" s="10">
        <f t="shared" ca="1" si="3"/>
        <v>6.0629195797456958E-3</v>
      </c>
      <c r="H22" s="10">
        <f ca="1">SUM($F$4:F22)</f>
        <v>18.133078912227298</v>
      </c>
      <c r="I22" s="10">
        <f t="shared" ca="1" si="5"/>
        <v>9.4416954445862289E-2</v>
      </c>
      <c r="J22" s="10"/>
      <c r="K22" s="10"/>
    </row>
    <row r="23" spans="1:13" x14ac:dyDescent="0.25">
      <c r="A23" t="str">
        <f t="shared" si="0"/>
        <v>20y</v>
      </c>
      <c r="B23">
        <v>20</v>
      </c>
      <c r="C23" s="10">
        <f>_xlfn.IFNA(VLOOKUP(A23,OIS!$A$1:$C$12,3,FALSE),"")</f>
        <v>5.2500000000000003E-3</v>
      </c>
      <c r="D23" s="15">
        <v>4</v>
      </c>
      <c r="E23" s="15" cm="1">
        <f t="array" aca="1" ref="E23" ca="1">SUM(ROW(INDIRECT("1:" &amp; D23)))</f>
        <v>10</v>
      </c>
      <c r="F23" s="16">
        <f ca="1">((1-C23*(H18+F18*D23-(F18/(D23+1))*(E23)))/(C23+1))/(1+((E23*C23)/((C23+1)*(D23+1))))</f>
        <v>0.90007593704133959</v>
      </c>
      <c r="G23" s="16">
        <f t="shared" ca="1" si="3"/>
        <v>6.0999029145403227E-3</v>
      </c>
      <c r="H23" s="10">
        <f ca="1">SUM($F$4:F23)</f>
        <v>19.033154849268637</v>
      </c>
      <c r="I23" s="10">
        <f t="shared" ca="1" si="2"/>
        <v>9.9924062958660353E-2</v>
      </c>
      <c r="J23" s="10"/>
      <c r="K23" s="10"/>
    </row>
    <row r="24" spans="1:13" x14ac:dyDescent="0.25">
      <c r="A24" t="str">
        <f t="shared" si="0"/>
        <v>21y</v>
      </c>
      <c r="B24">
        <v>21</v>
      </c>
      <c r="C24" s="10" t="str">
        <f>_xlfn.IFNA(VLOOKUP(A24,OIS!$A$1:$C$12,3,FALSE),"")</f>
        <v/>
      </c>
      <c r="D24" s="15"/>
      <c r="E24" s="15"/>
      <c r="F24" s="10">
        <f ca="1">F33+((F23-F33)/10)*9</f>
        <v>0.89480901491082843</v>
      </c>
      <c r="G24" s="10">
        <f t="shared" ca="1" si="3"/>
        <v>5.868877750740964E-3</v>
      </c>
      <c r="H24" s="10">
        <f ca="1">SUM($F$4:F24)</f>
        <v>19.927963864179464</v>
      </c>
      <c r="I24" s="10">
        <f t="shared" ref="I24:I33" ca="1" si="6">1-F24</f>
        <v>0.10519098508917157</v>
      </c>
      <c r="J24" s="10"/>
      <c r="K24" s="10"/>
    </row>
    <row r="25" spans="1:13" x14ac:dyDescent="0.25">
      <c r="A25" t="str">
        <f t="shared" si="0"/>
        <v>22y</v>
      </c>
      <c r="B25">
        <v>22</v>
      </c>
      <c r="C25" s="10" t="str">
        <f>_xlfn.IFNA(VLOOKUP(A25,OIS!$A$1:$C$12,3,FALSE),"")</f>
        <v/>
      </c>
      <c r="D25" s="15"/>
      <c r="E25" s="15"/>
      <c r="F25" s="10">
        <f ca="1">F33+((F23-F33)/10)*8</f>
        <v>0.88954209278031737</v>
      </c>
      <c r="G25" s="10">
        <f t="shared" ca="1" si="3"/>
        <v>5.9035249167571635E-3</v>
      </c>
      <c r="H25" s="10">
        <f ca="1">SUM($F$4:F25)</f>
        <v>20.817505956959781</v>
      </c>
      <c r="I25" s="10">
        <f t="shared" ca="1" si="6"/>
        <v>0.11045790721968263</v>
      </c>
      <c r="J25" s="10"/>
      <c r="K25" s="10"/>
    </row>
    <row r="26" spans="1:13" x14ac:dyDescent="0.25">
      <c r="A26" t="str">
        <f t="shared" si="0"/>
        <v>23y</v>
      </c>
      <c r="B26">
        <v>23</v>
      </c>
      <c r="C26" s="10" t="str">
        <f>_xlfn.IFNA(VLOOKUP(A26,OIS!$A$1:$C$12,3,FALSE),"")</f>
        <v/>
      </c>
      <c r="D26" s="15"/>
      <c r="E26" s="15"/>
      <c r="F26" s="10">
        <f ca="1">F33+((F23-F33)/10)*7</f>
        <v>0.88427517064980621</v>
      </c>
      <c r="G26" s="10">
        <f t="shared" ca="1" si="3"/>
        <v>5.9385835954373078E-3</v>
      </c>
      <c r="H26" s="10">
        <f ca="1">SUM($F$4:F26)</f>
        <v>21.701781127609589</v>
      </c>
      <c r="I26" s="10">
        <f t="shared" ca="1" si="6"/>
        <v>0.11572482935019379</v>
      </c>
      <c r="J26" s="10"/>
      <c r="K26" s="10"/>
    </row>
    <row r="27" spans="1:13" x14ac:dyDescent="0.25">
      <c r="A27" t="str">
        <f t="shared" si="0"/>
        <v>24y</v>
      </c>
      <c r="B27">
        <v>24</v>
      </c>
      <c r="C27" s="10" t="str">
        <f>_xlfn.IFNA(VLOOKUP(A27,OIS!$A$1:$C$12,3,FALSE),"")</f>
        <v/>
      </c>
      <c r="D27" s="15"/>
      <c r="E27" s="15"/>
      <c r="F27" s="10">
        <f ca="1">F33+((F23-F33)/10)*6</f>
        <v>0.87900824851929515</v>
      </c>
      <c r="G27" s="10">
        <f t="shared" ca="1" si="3"/>
        <v>5.9740611619218953E-3</v>
      </c>
      <c r="H27" s="10">
        <f ca="1">SUM($F$4:F27)</f>
        <v>22.580789376128884</v>
      </c>
      <c r="I27" s="10">
        <f t="shared" ca="1" si="6"/>
        <v>0.12099175148070485</v>
      </c>
      <c r="J27" s="10"/>
      <c r="K27" s="10"/>
    </row>
    <row r="28" spans="1:13" x14ac:dyDescent="0.25">
      <c r="A28" t="str">
        <f t="shared" si="0"/>
        <v>25y</v>
      </c>
      <c r="B28">
        <v>25</v>
      </c>
      <c r="C28" s="10" t="str">
        <f>_xlfn.IFNA(VLOOKUP(A28,OIS!$A$1:$C$12,3,FALSE),"")</f>
        <v/>
      </c>
      <c r="D28" s="15"/>
      <c r="E28" s="15"/>
      <c r="F28" s="10">
        <f ca="1">F33+((F23-F33)/10)*5</f>
        <v>0.87374132638878399</v>
      </c>
      <c r="G28" s="10">
        <f t="shared" ca="1" si="3"/>
        <v>6.0099651688894085E-3</v>
      </c>
      <c r="H28" s="10">
        <f ca="1">SUM($F$4:F28)</f>
        <v>23.454530702517669</v>
      </c>
      <c r="I28" s="10">
        <f t="shared" ca="1" si="6"/>
        <v>0.12625867361121601</v>
      </c>
      <c r="J28" s="10"/>
      <c r="K28" s="10"/>
    </row>
    <row r="29" spans="1:13" x14ac:dyDescent="0.25">
      <c r="A29" t="str">
        <f t="shared" si="0"/>
        <v>26y</v>
      </c>
      <c r="B29">
        <v>26</v>
      </c>
      <c r="C29" s="10" t="str">
        <f>_xlfn.IFNA(VLOOKUP(A29,OIS!$A$1:$C$12,3,FALSE),"")</f>
        <v/>
      </c>
      <c r="D29" s="15"/>
      <c r="E29" s="15"/>
      <c r="F29" s="10">
        <f ca="1">F33+((F23-F33)/10)*4</f>
        <v>0.86847440425827283</v>
      </c>
      <c r="G29" s="10">
        <f t="shared" ca="1" si="3"/>
        <v>6.0463033514324138E-3</v>
      </c>
      <c r="H29" s="10">
        <f ca="1">SUM($F$4:F29)</f>
        <v>24.323005106775941</v>
      </c>
      <c r="I29" s="10">
        <f t="shared" ca="1" si="6"/>
        <v>0.13152559574172717</v>
      </c>
      <c r="J29" s="10"/>
      <c r="K29" s="10"/>
    </row>
    <row r="30" spans="1:13" x14ac:dyDescent="0.25">
      <c r="A30" t="str">
        <f t="shared" si="0"/>
        <v>27y</v>
      </c>
      <c r="B30">
        <v>27</v>
      </c>
      <c r="C30" s="10" t="str">
        <f>_xlfn.IFNA(VLOOKUP(A30,OIS!$A$1:$C$12,3,FALSE),"")</f>
        <v/>
      </c>
      <c r="D30" s="15"/>
      <c r="E30" s="15"/>
      <c r="F30" s="10">
        <f ca="1">F33+((F23-F33)/10)*3</f>
        <v>0.86320748212776177</v>
      </c>
      <c r="G30" s="10">
        <f t="shared" ca="1" si="3"/>
        <v>6.0830836331327021E-3</v>
      </c>
      <c r="H30" s="10">
        <f ca="1">SUM($F$4:F30)</f>
        <v>25.186212588903704</v>
      </c>
      <c r="I30" s="10">
        <f t="shared" ca="1" si="6"/>
        <v>0.13679251787223823</v>
      </c>
      <c r="J30" s="10"/>
      <c r="K30" s="10"/>
    </row>
    <row r="31" spans="1:13" x14ac:dyDescent="0.25">
      <c r="A31" t="str">
        <f t="shared" si="0"/>
        <v>28y</v>
      </c>
      <c r="B31">
        <v>28</v>
      </c>
      <c r="C31" s="10" t="str">
        <f>_xlfn.IFNA(VLOOKUP(A31,OIS!$A$1:$C$12,3,FALSE),"")</f>
        <v/>
      </c>
      <c r="D31" s="15"/>
      <c r="E31" s="15"/>
      <c r="F31" s="10">
        <f ca="1">F33+((F23-F33)/10)*2</f>
        <v>0.85794055999725061</v>
      </c>
      <c r="G31" s="10">
        <f t="shared" ca="1" si="3"/>
        <v>6.1203141313370679E-3</v>
      </c>
      <c r="H31" s="10">
        <f ca="1">SUM($F$4:F31)</f>
        <v>26.044153148900953</v>
      </c>
      <c r="I31" s="10">
        <f t="shared" ca="1" si="6"/>
        <v>0.14205944000274939</v>
      </c>
      <c r="J31" s="10"/>
      <c r="K31" s="10"/>
      <c r="M31" s="11">
        <f ca="1">G13</f>
        <v>5.712184400126219E-3</v>
      </c>
    </row>
    <row r="32" spans="1:13" x14ac:dyDescent="0.25">
      <c r="A32" t="str">
        <f t="shared" si="0"/>
        <v>29y</v>
      </c>
      <c r="B32">
        <v>29</v>
      </c>
      <c r="C32" s="10" t="str">
        <f>_xlfn.IFNA(VLOOKUP(A32,OIS!$A$1:$C$12,3,FALSE),"")</f>
        <v/>
      </c>
      <c r="D32" s="15"/>
      <c r="E32" s="15"/>
      <c r="F32" s="10">
        <f ca="1">F33+((F23-F33)/10)</f>
        <v>0.85267363786673955</v>
      </c>
      <c r="G32" s="10">
        <f t="shared" ca="1" si="3"/>
        <v>6.1580031634722587E-3</v>
      </c>
      <c r="H32" s="10">
        <f ca="1">SUM($F$4:F32)</f>
        <v>26.896826786767694</v>
      </c>
      <c r="I32" s="10">
        <f t="shared" ca="1" si="6"/>
        <v>0.14732636213326045</v>
      </c>
      <c r="J32" s="10"/>
      <c r="K32" s="10"/>
      <c r="M32" s="11">
        <f ca="1">G18</f>
        <v>6.0972190621200184E-3</v>
      </c>
    </row>
    <row r="33" spans="1:13" x14ac:dyDescent="0.25">
      <c r="A33" t="str">
        <f t="shared" si="0"/>
        <v>30y</v>
      </c>
      <c r="B33">
        <v>30</v>
      </c>
      <c r="C33" s="10">
        <f>_xlfn.IFNA(VLOOKUP(A33,OIS!$A$1:$C$12,3,FALSE),"")</f>
        <v>5.4999999999999997E-3</v>
      </c>
      <c r="D33" s="15">
        <v>9</v>
      </c>
      <c r="E33" s="15" cm="1">
        <f t="array" aca="1" ref="E33" ca="1">SUM(ROW(INDIRECT("1:" &amp; D33)))</f>
        <v>45</v>
      </c>
      <c r="F33" s="16">
        <f ca="1">((1-C33*(H23+F23*D33-(F23/(D33+1))*(E33)))/(C33+1))/(1+((E33*C33)/((C33+1)*(D33+1))))</f>
        <v>0.84740671573622839</v>
      </c>
      <c r="G33" s="16">
        <f t="shared" ca="1" si="3"/>
        <v>6.1961592531201148E-3</v>
      </c>
      <c r="H33" s="10">
        <f ca="1">SUM($F$4:F33)</f>
        <v>27.744233502503921</v>
      </c>
      <c r="I33" s="10">
        <f t="shared" ca="1" si="6"/>
        <v>0.15259328426377161</v>
      </c>
      <c r="J33" s="10"/>
      <c r="K33" s="10"/>
      <c r="M33" s="11">
        <f ca="1">G23</f>
        <v>6.0999029145403227E-3</v>
      </c>
    </row>
    <row r="34" spans="1:13" x14ac:dyDescent="0.25">
      <c r="M34" s="11">
        <f ca="1">G33</f>
        <v>6.1961592531201148E-3</v>
      </c>
    </row>
    <row r="35" spans="1:13" x14ac:dyDescent="0.25">
      <c r="G35" s="11"/>
      <c r="H35" s="13"/>
    </row>
    <row r="36" spans="1:13" x14ac:dyDescent="0.25">
      <c r="C36" s="10"/>
      <c r="D36" s="10"/>
      <c r="E36" s="10"/>
      <c r="G36" s="10"/>
      <c r="H36" s="10"/>
    </row>
    <row r="37" spans="1:13" x14ac:dyDescent="0.25">
      <c r="C37" s="10"/>
      <c r="D37" s="10"/>
      <c r="E37" s="10"/>
      <c r="G37" s="10"/>
      <c r="H37" s="10"/>
    </row>
    <row r="38" spans="1:13" x14ac:dyDescent="0.25">
      <c r="C38" s="10"/>
      <c r="D38" s="10"/>
      <c r="E38" s="10"/>
      <c r="G38" s="10"/>
      <c r="H38" s="10"/>
    </row>
  </sheetData>
  <pageMargins left="0.7" right="0.7" top="0.75" bottom="0.75" header="0.3" footer="0.3"/>
  <ignoredErrors>
    <ignoredError sqref="I9:I23" formula="1"/>
  </ignoredError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IRS</vt:lpstr>
      <vt:lpstr>OIS</vt:lpstr>
      <vt:lpstr>Swaption</vt:lpstr>
      <vt:lpstr>OIS V3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Dylan LOO Yongqing</cp:lastModifiedBy>
  <cp:revision>0</cp:revision>
  <dcterms:created xsi:type="dcterms:W3CDTF">2006-09-16T00:00:00Z</dcterms:created>
  <dcterms:modified xsi:type="dcterms:W3CDTF">2024-03-10T09:02:33Z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