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17771dfdaae3ac/Documentos/Repositories/Aeronautica/modelo_riesgo/input/"/>
    </mc:Choice>
  </mc:AlternateContent>
  <xr:revisionPtr revIDLastSave="823" documentId="8_{7A4191CF-E385-4288-A750-4EE72DCEA753}" xr6:coauthVersionLast="47" xr6:coauthVersionMax="47" xr10:uidLastSave="{520C0690-774D-4794-AA6E-D9019265E674}"/>
  <bookViews>
    <workbookView xWindow="-120" yWindow="-120" windowWidth="20730" windowHeight="11040" xr2:uid="{E474EEFB-9A18-4384-9A6B-4F81A234EB09}"/>
  </bookViews>
  <sheets>
    <sheet name="comercial_troncal" sheetId="1" r:id="rId1"/>
    <sheet name="gobierno" sheetId="3" r:id="rId2"/>
    <sheet name="comercial_secundario " sheetId="2" r:id="rId3"/>
    <sheet name="internacional" sheetId="9" r:id="rId4"/>
    <sheet name="comercial_regional" sheetId="4" r:id="rId5"/>
    <sheet name="aerotaxis" sheetId="5" r:id="rId6"/>
    <sheet name="comercial carga" sheetId="6" r:id="rId7"/>
    <sheet name="especial_carga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N18" i="6" l="1"/>
  <c r="EO18" i="6"/>
  <c r="EP18" i="6"/>
  <c r="EQ18" i="6"/>
  <c r="ER18" i="6"/>
  <c r="ES18" i="6"/>
  <c r="ET18" i="6"/>
  <c r="EU18" i="6"/>
  <c r="EV18" i="6"/>
  <c r="EW18" i="6"/>
  <c r="EX18" i="6"/>
  <c r="EM18" i="6"/>
  <c r="FH32" i="6"/>
  <c r="FG32" i="6"/>
  <c r="FE32" i="6"/>
  <c r="FJ24" i="6"/>
  <c r="FI24" i="6"/>
  <c r="FH24" i="6"/>
  <c r="FG24" i="6"/>
  <c r="FF24" i="6"/>
  <c r="FE24" i="6"/>
  <c r="FD24" i="6"/>
  <c r="FC24" i="6"/>
  <c r="EZ24" i="6"/>
  <c r="EY24" i="6"/>
  <c r="EY6" i="6"/>
  <c r="ES27" i="6"/>
  <c r="EW15" i="6"/>
  <c r="ACY22" i="5"/>
  <c r="ACX22" i="5"/>
  <c r="ACO22" i="5"/>
  <c r="ACN22" i="5"/>
  <c r="ACI22" i="5"/>
  <c r="ACH22" i="5"/>
  <c r="ACE22" i="5"/>
  <c r="ACD22" i="5"/>
  <c r="ABY22" i="5"/>
  <c r="ABX22" i="5"/>
  <c r="ABW22" i="5"/>
  <c r="ABV22" i="5"/>
  <c r="ABQ22" i="5"/>
  <c r="ABP22" i="5"/>
  <c r="ABO22" i="5"/>
  <c r="ABN22" i="5"/>
  <c r="ABC22" i="5"/>
  <c r="ABB22" i="5"/>
  <c r="AAG22" i="5"/>
  <c r="AAF22" i="5"/>
  <c r="AFS21" i="5"/>
  <c r="AFR21" i="5"/>
  <c r="AFI21" i="5"/>
  <c r="AFH21" i="5"/>
  <c r="ADO21" i="5"/>
  <c r="ADN21" i="5"/>
  <c r="AEA6" i="5"/>
  <c r="ACI25" i="5"/>
  <c r="ACH25" i="5"/>
  <c r="AY28" i="2"/>
  <c r="T19" i="2"/>
  <c r="U19" i="2"/>
  <c r="V19" i="2"/>
  <c r="W19" i="2"/>
  <c r="AX28" i="2"/>
  <c r="AW28" i="2"/>
  <c r="AV28" i="2"/>
  <c r="AU28" i="2"/>
  <c r="AT28" i="2"/>
  <c r="AO28" i="2"/>
  <c r="AN28" i="2"/>
  <c r="AM28" i="2"/>
  <c r="AT23" i="2"/>
  <c r="AE28" i="2"/>
  <c r="AD28" i="2"/>
  <c r="AC28" i="2"/>
  <c r="AB28" i="2"/>
  <c r="AE27" i="2"/>
  <c r="AD27" i="2"/>
  <c r="AC27" i="2"/>
  <c r="AB27" i="2"/>
  <c r="AE23" i="2"/>
  <c r="AD23" i="2"/>
  <c r="AB18" i="2"/>
  <c r="AE18" i="2"/>
  <c r="AD18" i="2"/>
  <c r="AC18" i="2"/>
  <c r="AE7" i="2"/>
  <c r="AD7" i="2"/>
  <c r="AC7" i="2"/>
  <c r="AB7" i="2"/>
  <c r="V6" i="3"/>
  <c r="S16" i="3"/>
  <c r="T16" i="3"/>
  <c r="U16" i="3"/>
  <c r="V16" i="3"/>
  <c r="W16" i="3"/>
  <c r="X16" i="3"/>
  <c r="R16" i="3"/>
  <c r="S6" i="3"/>
  <c r="U18" i="3"/>
  <c r="U20" i="3" s="1"/>
  <c r="V18" i="3"/>
  <c r="V20" i="3" s="1"/>
  <c r="W20" i="3"/>
  <c r="X20" i="3"/>
  <c r="T20" i="3"/>
  <c r="U10" i="3"/>
  <c r="V10" i="3"/>
  <c r="W10" i="3"/>
  <c r="X10" i="3"/>
  <c r="T6" i="3"/>
  <c r="U6" i="3"/>
  <c r="W6" i="3"/>
  <c r="X6" i="3"/>
  <c r="V21" i="3"/>
  <c r="U21" i="3"/>
  <c r="S20" i="3"/>
  <c r="S10" i="3"/>
  <c r="T10" i="3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R17" i="1"/>
  <c r="CO18" i="1"/>
  <c r="CN18" i="1"/>
  <c r="CF11" i="1"/>
  <c r="CF10" i="1"/>
  <c r="BU10" i="1"/>
  <c r="CI9" i="1"/>
  <c r="EL31" i="6" l="1"/>
  <c r="EK31" i="6"/>
  <c r="EJ31" i="6"/>
  <c r="EI31" i="6"/>
  <c r="EH31" i="6"/>
  <c r="EG31" i="6"/>
  <c r="EB31" i="6"/>
  <c r="EA31" i="6"/>
  <c r="DX31" i="6"/>
  <c r="DW31" i="6"/>
  <c r="EJ30" i="6"/>
  <c r="EI30" i="6"/>
  <c r="EH30" i="6"/>
  <c r="EG30" i="6"/>
  <c r="EB29" i="6"/>
  <c r="EA29" i="6"/>
  <c r="DY29" i="6"/>
  <c r="DX29" i="6"/>
  <c r="DW29" i="6"/>
  <c r="EL28" i="6"/>
  <c r="EL30" i="6" s="1"/>
  <c r="EK28" i="6"/>
  <c r="EK30" i="6" s="1"/>
  <c r="EF28" i="6"/>
  <c r="EE28" i="6"/>
  <c r="ED28" i="6"/>
  <c r="EC28" i="6"/>
  <c r="EB28" i="6"/>
  <c r="EA28" i="6"/>
  <c r="DX28" i="6"/>
  <c r="DW28" i="6"/>
  <c r="EF27" i="6"/>
  <c r="EF31" i="6" s="1"/>
  <c r="EE27" i="6"/>
  <c r="EE31" i="6" s="1"/>
  <c r="ED27" i="6"/>
  <c r="ED31" i="6" s="1"/>
  <c r="EC27" i="6"/>
  <c r="EC31" i="6" s="1"/>
  <c r="DZ27" i="6"/>
  <c r="DZ30" i="6" s="1"/>
  <c r="DY27" i="6"/>
  <c r="EJ25" i="6"/>
  <c r="EJ32" i="6" s="1"/>
  <c r="EI25" i="6"/>
  <c r="EI32" i="6" s="1"/>
  <c r="EH25" i="6"/>
  <c r="EG25" i="6"/>
  <c r="EB25" i="6"/>
  <c r="EA25" i="6"/>
  <c r="DX25" i="6"/>
  <c r="DW25" i="6"/>
  <c r="EL24" i="6"/>
  <c r="EL25" i="6" s="1"/>
  <c r="EK24" i="6"/>
  <c r="EK25" i="6" s="1"/>
  <c r="EF24" i="6"/>
  <c r="EF25" i="6" s="1"/>
  <c r="EE24" i="6"/>
  <c r="EE25" i="6" s="1"/>
  <c r="ED24" i="6"/>
  <c r="ED25" i="6" s="1"/>
  <c r="EC24" i="6"/>
  <c r="EC25" i="6" s="1"/>
  <c r="DZ23" i="6"/>
  <c r="DZ25" i="6" s="1"/>
  <c r="DY23" i="6"/>
  <c r="DY25" i="6" s="1"/>
  <c r="EJ19" i="6"/>
  <c r="EI19" i="6"/>
  <c r="EH19" i="6"/>
  <c r="EG19" i="6"/>
  <c r="EF19" i="6"/>
  <c r="EE19" i="6"/>
  <c r="EB19" i="6"/>
  <c r="DZ19" i="6"/>
  <c r="DY19" i="6"/>
  <c r="EL18" i="6"/>
  <c r="EK18" i="6"/>
  <c r="ED18" i="6"/>
  <c r="EC18" i="6"/>
  <c r="DX18" i="6"/>
  <c r="DX19" i="6" s="1"/>
  <c r="DW18" i="6"/>
  <c r="DW19" i="6" s="1"/>
  <c r="EL17" i="6"/>
  <c r="EK17" i="6"/>
  <c r="ED17" i="6"/>
  <c r="EC17" i="6"/>
  <c r="EC19" i="6" s="1"/>
  <c r="EA17" i="6"/>
  <c r="EA19" i="6" s="1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EJ8" i="6"/>
  <c r="EI8" i="6"/>
  <c r="EH8" i="6"/>
  <c r="EG8" i="6"/>
  <c r="EB8" i="6"/>
  <c r="EA8" i="6"/>
  <c r="DX8" i="6"/>
  <c r="DW8" i="6"/>
  <c r="EL7" i="6"/>
  <c r="EL8" i="6" s="1"/>
  <c r="EK7" i="6"/>
  <c r="EK8" i="6" s="1"/>
  <c r="EF7" i="6"/>
  <c r="EF8" i="6" s="1"/>
  <c r="EE7" i="6"/>
  <c r="EE8" i="6" s="1"/>
  <c r="ED7" i="6"/>
  <c r="ED8" i="6" s="1"/>
  <c r="EC7" i="6"/>
  <c r="EC8" i="6" s="1"/>
  <c r="DZ7" i="6"/>
  <c r="DZ8" i="6" s="1"/>
  <c r="DY7" i="6"/>
  <c r="DY8" i="6" s="1"/>
  <c r="R17" i="3"/>
  <c r="R21" i="3" s="1"/>
  <c r="Q17" i="3"/>
  <c r="Q21" i="3" s="1"/>
  <c r="R15" i="3"/>
  <c r="Q15" i="3"/>
  <c r="Q16" i="3" s="1"/>
  <c r="R13" i="3"/>
  <c r="Q13" i="3"/>
  <c r="R10" i="3"/>
  <c r="Q10" i="3"/>
  <c r="R5" i="3"/>
  <c r="R6" i="3" s="1"/>
  <c r="Q5" i="3"/>
  <c r="Q6" i="3" s="1"/>
  <c r="BO22" i="1"/>
  <c r="BN22" i="1"/>
  <c r="BM22" i="1"/>
  <c r="BL22" i="1"/>
  <c r="BK22" i="1"/>
  <c r="BJ22" i="1"/>
  <c r="BO21" i="1"/>
  <c r="BM21" i="1"/>
  <c r="BL21" i="1"/>
  <c r="BK21" i="1"/>
  <c r="BJ21" i="1"/>
  <c r="BQ20" i="1"/>
  <c r="BP19" i="1"/>
  <c r="BN19" i="1"/>
  <c r="BN21" i="1" s="1"/>
  <c r="BQ18" i="1"/>
  <c r="BP18" i="1"/>
  <c r="BP22" i="1" s="1"/>
  <c r="BM17" i="1"/>
  <c r="BL17" i="1"/>
  <c r="BQ16" i="1"/>
  <c r="BP16" i="1"/>
  <c r="BP17" i="1" s="1"/>
  <c r="BO16" i="1"/>
  <c r="BO17" i="1" s="1"/>
  <c r="BN16" i="1"/>
  <c r="BN17" i="1" s="1"/>
  <c r="BK16" i="1"/>
  <c r="BK17" i="1" s="1"/>
  <c r="BJ16" i="1"/>
  <c r="BJ17" i="1" s="1"/>
  <c r="BQ15" i="1"/>
  <c r="BQ12" i="1"/>
  <c r="BQ13" i="1" s="1"/>
  <c r="BP12" i="1"/>
  <c r="BO12" i="1"/>
  <c r="BN12" i="1"/>
  <c r="BK12" i="1"/>
  <c r="BK13" i="1" s="1"/>
  <c r="BJ12" i="1"/>
  <c r="BJ13" i="1" s="1"/>
  <c r="BP11" i="1"/>
  <c r="BO11" i="1"/>
  <c r="BN11" i="1"/>
  <c r="BM11" i="1"/>
  <c r="BM13" i="1" s="1"/>
  <c r="BL11" i="1"/>
  <c r="BL13" i="1" s="1"/>
  <c r="BQ8" i="1"/>
  <c r="BP8" i="1"/>
  <c r="BO8" i="1"/>
  <c r="BN8" i="1"/>
  <c r="BM8" i="1"/>
  <c r="BL8" i="1"/>
  <c r="BK7" i="1"/>
  <c r="BK8" i="1" s="1"/>
  <c r="BJ7" i="1"/>
  <c r="BJ8" i="1" s="1"/>
  <c r="BQ5" i="1"/>
  <c r="BP5" i="1"/>
  <c r="BO5" i="1"/>
  <c r="BN5" i="1"/>
  <c r="BM5" i="1"/>
  <c r="BL5" i="1"/>
  <c r="BK5" i="1"/>
  <c r="BJ5" i="1"/>
  <c r="EA20" i="6" l="1"/>
  <c r="EB30" i="6"/>
  <c r="EL19" i="6"/>
  <c r="EL20" i="6" s="1"/>
  <c r="EI20" i="6"/>
  <c r="EK32" i="6"/>
  <c r="EK19" i="6"/>
  <c r="EK20" i="6" s="1"/>
  <c r="EH20" i="6"/>
  <c r="EG32" i="6"/>
  <c r="DW20" i="6"/>
  <c r="DZ32" i="6"/>
  <c r="DX20" i="6"/>
  <c r="EE20" i="6"/>
  <c r="DX30" i="6"/>
  <c r="DX32" i="6" s="1"/>
  <c r="EF20" i="6"/>
  <c r="EF30" i="6"/>
  <c r="EF32" i="6" s="1"/>
  <c r="ED19" i="6"/>
  <c r="ED20" i="6" s="1"/>
  <c r="EG20" i="6"/>
  <c r="EB32" i="6"/>
  <c r="DW30" i="6"/>
  <c r="DY30" i="6"/>
  <c r="DY32" i="6" s="1"/>
  <c r="EC20" i="6"/>
  <c r="DY20" i="6"/>
  <c r="EJ20" i="6"/>
  <c r="EA30" i="6"/>
  <c r="EA32" i="6" s="1"/>
  <c r="DZ20" i="6"/>
  <c r="DY31" i="6"/>
  <c r="EH32" i="6"/>
  <c r="EB20" i="6"/>
  <c r="BM14" i="1"/>
  <c r="BN23" i="1"/>
  <c r="BN13" i="1"/>
  <c r="BN14" i="1" s="1"/>
  <c r="BQ22" i="1"/>
  <c r="BK14" i="1"/>
  <c r="BL14" i="1"/>
  <c r="BO13" i="1"/>
  <c r="BO14" i="1" s="1"/>
  <c r="BO23" i="1"/>
  <c r="BL23" i="1"/>
  <c r="BM23" i="1"/>
  <c r="BK23" i="1"/>
  <c r="BP13" i="1"/>
  <c r="BP14" i="1" s="1"/>
  <c r="BQ14" i="1"/>
  <c r="BQ17" i="1"/>
  <c r="BQ21" i="1"/>
  <c r="BJ14" i="1"/>
  <c r="BJ23" i="1"/>
  <c r="EE32" i="6"/>
  <c r="EL32" i="6"/>
  <c r="DW32" i="6"/>
  <c r="EE30" i="6"/>
  <c r="DZ31" i="6"/>
  <c r="EC30" i="6"/>
  <c r="EC32" i="6" s="1"/>
  <c r="ED30" i="6"/>
  <c r="ED32" i="6" s="1"/>
  <c r="Q20" i="3"/>
  <c r="Q22" i="3" s="1"/>
  <c r="R20" i="3"/>
  <c r="R22" i="3" s="1"/>
  <c r="BP21" i="1"/>
  <c r="BP23" i="1" s="1"/>
  <c r="X31" i="7"/>
  <c r="Z30" i="7"/>
  <c r="X30" i="7"/>
  <c r="Z28" i="7"/>
  <c r="Z32" i="7" s="1"/>
  <c r="X28" i="7"/>
  <c r="X32" i="7" s="1"/>
  <c r="Z26" i="7"/>
  <c r="X26" i="7"/>
  <c r="Z19" i="7"/>
  <c r="Z20" i="7" s="1"/>
  <c r="Z21" i="7" s="1"/>
  <c r="X19" i="7"/>
  <c r="X20" i="7" s="1"/>
  <c r="X21" i="7" s="1"/>
  <c r="Z14" i="7"/>
  <c r="X14" i="7"/>
  <c r="X9" i="7"/>
  <c r="Z8" i="7"/>
  <c r="Z9" i="7" s="1"/>
  <c r="CP31" i="6"/>
  <c r="CO31" i="6"/>
  <c r="CL31" i="6"/>
  <c r="CL30" i="6"/>
  <c r="CP29" i="6"/>
  <c r="CP30" i="6" s="1"/>
  <c r="CO29" i="6"/>
  <c r="CO30" i="6" s="1"/>
  <c r="CF29" i="6"/>
  <c r="CE29" i="6"/>
  <c r="CD29" i="6"/>
  <c r="CN28" i="6"/>
  <c r="CN27" i="6"/>
  <c r="CJ27" i="6"/>
  <c r="CJ30" i="6" s="1"/>
  <c r="CH27" i="6"/>
  <c r="CH30" i="6" s="1"/>
  <c r="CG27" i="6"/>
  <c r="CG30" i="6" s="1"/>
  <c r="CF27" i="6"/>
  <c r="CF31" i="6" s="1"/>
  <c r="CE27" i="6"/>
  <c r="CE31" i="6" s="1"/>
  <c r="CD27" i="6"/>
  <c r="CD31" i="6" s="1"/>
  <c r="CB27" i="6"/>
  <c r="CB30" i="6" s="1"/>
  <c r="CL25" i="6"/>
  <c r="CJ25" i="6"/>
  <c r="CF25" i="6"/>
  <c r="CE25" i="6"/>
  <c r="CD25" i="6"/>
  <c r="CB25" i="6"/>
  <c r="CB32" i="6" s="1"/>
  <c r="CP24" i="6"/>
  <c r="CP25" i="6" s="1"/>
  <c r="CO24" i="6"/>
  <c r="CO25" i="6" s="1"/>
  <c r="CN24" i="6"/>
  <c r="CN25" i="6" s="1"/>
  <c r="CH24" i="6"/>
  <c r="CH25" i="6" s="1"/>
  <c r="CG24" i="6"/>
  <c r="CG25" i="6" s="1"/>
  <c r="CN19" i="6"/>
  <c r="CL19" i="6"/>
  <c r="CP18" i="6"/>
  <c r="CO18" i="6"/>
  <c r="CJ18" i="6"/>
  <c r="CJ19" i="6" s="1"/>
  <c r="CH18" i="6"/>
  <c r="CG18" i="6"/>
  <c r="CF18" i="6"/>
  <c r="CF19" i="6" s="1"/>
  <c r="CE18" i="6"/>
  <c r="CE19" i="6" s="1"/>
  <c r="CD18" i="6"/>
  <c r="CD19" i="6" s="1"/>
  <c r="CB18" i="6"/>
  <c r="CP17" i="6"/>
  <c r="CO17" i="6"/>
  <c r="CH17" i="6"/>
  <c r="CH19" i="6" s="1"/>
  <c r="CH20" i="6" s="1"/>
  <c r="CB17" i="6"/>
  <c r="CG16" i="6"/>
  <c r="CP13" i="6"/>
  <c r="CO13" i="6"/>
  <c r="CN13" i="6"/>
  <c r="CL13" i="6"/>
  <c r="CH13" i="6"/>
  <c r="CG13" i="6"/>
  <c r="CF13" i="6"/>
  <c r="CE13" i="6"/>
  <c r="CD13" i="6"/>
  <c r="CB13" i="6"/>
  <c r="CJ11" i="6"/>
  <c r="CJ13" i="6" s="1"/>
  <c r="CL8" i="6"/>
  <c r="CF8" i="6"/>
  <c r="CE8" i="6"/>
  <c r="CD8" i="6"/>
  <c r="CP7" i="6"/>
  <c r="CP8" i="6" s="1"/>
  <c r="CO7" i="6"/>
  <c r="CO8" i="6" s="1"/>
  <c r="CN7" i="6"/>
  <c r="CJ7" i="6"/>
  <c r="CJ8" i="6" s="1"/>
  <c r="CH7" i="6"/>
  <c r="CH8" i="6" s="1"/>
  <c r="CG7" i="6"/>
  <c r="CG8" i="6" s="1"/>
  <c r="CB7" i="6"/>
  <c r="CB8" i="6" s="1"/>
  <c r="CN6" i="6"/>
  <c r="AF31" i="4"/>
  <c r="AE31" i="4"/>
  <c r="AD31" i="4"/>
  <c r="AD30" i="4"/>
  <c r="AF28" i="4"/>
  <c r="AF30" i="4" s="1"/>
  <c r="AE28" i="4"/>
  <c r="AE30" i="4" s="1"/>
  <c r="AF25" i="4"/>
  <c r="AE25" i="4"/>
  <c r="AD25" i="4"/>
  <c r="AD32" i="4" s="1"/>
  <c r="AD19" i="4"/>
  <c r="AF18" i="4"/>
  <c r="AF19" i="4" s="1"/>
  <c r="AE18" i="4"/>
  <c r="AE19" i="4" s="1"/>
  <c r="AF13" i="4"/>
  <c r="AE13" i="4"/>
  <c r="AD13" i="4"/>
  <c r="AD20" i="4" s="1"/>
  <c r="AD8" i="4"/>
  <c r="AF7" i="4"/>
  <c r="AF8" i="4" s="1"/>
  <c r="AE7" i="4"/>
  <c r="AE8" i="4" s="1"/>
  <c r="RK29" i="5"/>
  <c r="RJ29" i="5"/>
  <c r="RG29" i="5"/>
  <c r="RC29" i="5"/>
  <c r="QG29" i="5"/>
  <c r="QF29" i="5"/>
  <c r="QA29" i="5"/>
  <c r="PS29" i="5"/>
  <c r="PP29" i="5"/>
  <c r="PI29" i="5"/>
  <c r="PE29" i="5"/>
  <c r="PD29" i="5"/>
  <c r="PC29" i="5"/>
  <c r="PB29" i="5"/>
  <c r="OV29" i="5"/>
  <c r="OS29" i="5"/>
  <c r="ON29" i="5"/>
  <c r="OI29" i="5"/>
  <c r="OF29" i="5"/>
  <c r="OE29" i="5"/>
  <c r="NY29" i="5"/>
  <c r="NX29" i="5"/>
  <c r="NW29" i="5"/>
  <c r="NV29" i="5"/>
  <c r="NU29" i="5"/>
  <c r="NM29" i="5"/>
  <c r="RG28" i="5"/>
  <c r="RC28" i="5"/>
  <c r="QG28" i="5"/>
  <c r="QF28" i="5"/>
  <c r="PP28" i="5"/>
  <c r="PP30" i="5" s="1"/>
  <c r="PI28" i="5"/>
  <c r="PE28" i="5"/>
  <c r="PE30" i="5" s="1"/>
  <c r="PD28" i="5"/>
  <c r="PD30" i="5" s="1"/>
  <c r="PB28" i="5"/>
  <c r="OV28" i="5"/>
  <c r="OS28" i="5"/>
  <c r="ON28" i="5"/>
  <c r="OI28" i="5"/>
  <c r="OF28" i="5"/>
  <c r="OE28" i="5"/>
  <c r="NY28" i="5"/>
  <c r="NX28" i="5"/>
  <c r="NX30" i="5" s="1"/>
  <c r="NW28" i="5"/>
  <c r="NV28" i="5"/>
  <c r="NU28" i="5"/>
  <c r="RK27" i="5"/>
  <c r="RJ27" i="5"/>
  <c r="RI27" i="5"/>
  <c r="QY27" i="5"/>
  <c r="QX27" i="5"/>
  <c r="QS27" i="5"/>
  <c r="QM27" i="5"/>
  <c r="QA27" i="5"/>
  <c r="QA28" i="5" s="1"/>
  <c r="PV27" i="5"/>
  <c r="PU27" i="5"/>
  <c r="PT27" i="5"/>
  <c r="PC27" i="5"/>
  <c r="PC28" i="5" s="1"/>
  <c r="OK27" i="5"/>
  <c r="NQ27" i="5"/>
  <c r="NO27" i="5"/>
  <c r="NN27" i="5"/>
  <c r="RK26" i="5"/>
  <c r="RK28" i="5" s="1"/>
  <c r="RJ26" i="5"/>
  <c r="RJ28" i="5" s="1"/>
  <c r="RE26" i="5"/>
  <c r="PY26" i="5"/>
  <c r="PX26" i="5"/>
  <c r="PS26" i="5"/>
  <c r="PS28" i="5" s="1"/>
  <c r="PM26" i="5"/>
  <c r="PG26" i="5"/>
  <c r="OO26" i="5"/>
  <c r="NS26" i="5"/>
  <c r="NM26" i="5"/>
  <c r="NM28" i="5" s="1"/>
  <c r="NI26" i="5"/>
  <c r="RM25" i="5"/>
  <c r="RM29" i="5" s="1"/>
  <c r="RI25" i="5"/>
  <c r="RI29" i="5" s="1"/>
  <c r="RH25" i="5"/>
  <c r="RH28" i="5" s="1"/>
  <c r="RE25" i="5"/>
  <c r="RE29" i="5" s="1"/>
  <c r="RD25" i="5"/>
  <c r="RD29" i="5" s="1"/>
  <c r="RA25" i="5"/>
  <c r="RA29" i="5" s="1"/>
  <c r="QZ25" i="5"/>
  <c r="QZ28" i="5" s="1"/>
  <c r="QY25" i="5"/>
  <c r="QY29" i="5" s="1"/>
  <c r="QX25" i="5"/>
  <c r="QX29" i="5" s="1"/>
  <c r="QW25" i="5"/>
  <c r="QW29" i="5" s="1"/>
  <c r="QV25" i="5"/>
  <c r="QV29" i="5" s="1"/>
  <c r="QU25" i="5"/>
  <c r="QU28" i="5" s="1"/>
  <c r="QS25" i="5"/>
  <c r="QS29" i="5" s="1"/>
  <c r="QQ25" i="5"/>
  <c r="QQ29" i="5" s="1"/>
  <c r="QO25" i="5"/>
  <c r="QO29" i="5" s="1"/>
  <c r="QN25" i="5"/>
  <c r="QN29" i="5" s="1"/>
  <c r="QM25" i="5"/>
  <c r="QM29" i="5" s="1"/>
  <c r="QK25" i="5"/>
  <c r="QK29" i="5" s="1"/>
  <c r="QI25" i="5"/>
  <c r="QI29" i="5" s="1"/>
  <c r="QE25" i="5"/>
  <c r="QE29" i="5" s="1"/>
  <c r="QC25" i="5"/>
  <c r="QC29" i="5" s="1"/>
  <c r="PY25" i="5"/>
  <c r="PY29" i="5" s="1"/>
  <c r="PX25" i="5"/>
  <c r="PX29" i="5" s="1"/>
  <c r="PW25" i="5"/>
  <c r="PW29" i="5" s="1"/>
  <c r="PV25" i="5"/>
  <c r="PV29" i="5" s="1"/>
  <c r="PU25" i="5"/>
  <c r="PT25" i="5"/>
  <c r="PQ25" i="5"/>
  <c r="PQ29" i="5" s="1"/>
  <c r="PO25" i="5"/>
  <c r="PO29" i="5" s="1"/>
  <c r="PN25" i="5"/>
  <c r="PN29" i="5" s="1"/>
  <c r="PM25" i="5"/>
  <c r="PL25" i="5"/>
  <c r="PL28" i="5" s="1"/>
  <c r="PK25" i="5"/>
  <c r="PK29" i="5" s="1"/>
  <c r="PG25" i="5"/>
  <c r="PG29" i="5" s="1"/>
  <c r="PA25" i="5"/>
  <c r="PA29" i="5" s="1"/>
  <c r="OY25" i="5"/>
  <c r="OY29" i="5" s="1"/>
  <c r="OW25" i="5"/>
  <c r="OW29" i="5" s="1"/>
  <c r="OU25" i="5"/>
  <c r="OU29" i="5" s="1"/>
  <c r="OQ25" i="5"/>
  <c r="OQ29" i="5" s="1"/>
  <c r="OO25" i="5"/>
  <c r="OO29" i="5" s="1"/>
  <c r="OM25" i="5"/>
  <c r="OM29" i="5" s="1"/>
  <c r="OL25" i="5"/>
  <c r="OL29" i="5" s="1"/>
  <c r="OK25" i="5"/>
  <c r="OK29" i="5" s="1"/>
  <c r="OG25" i="5"/>
  <c r="OG29" i="5" s="1"/>
  <c r="OC25" i="5"/>
  <c r="OC29" i="5" s="1"/>
  <c r="OA25" i="5"/>
  <c r="OA29" i="5" s="1"/>
  <c r="NZ25" i="5"/>
  <c r="NZ29" i="5" s="1"/>
  <c r="NS25" i="5"/>
  <c r="NS29" i="5" s="1"/>
  <c r="NQ25" i="5"/>
  <c r="NQ29" i="5" s="1"/>
  <c r="NO25" i="5"/>
  <c r="NO29" i="5" s="1"/>
  <c r="NN25" i="5"/>
  <c r="NN29" i="5" s="1"/>
  <c r="NK25" i="5"/>
  <c r="NK29" i="5" s="1"/>
  <c r="NJ25" i="5"/>
  <c r="NJ29" i="5" s="1"/>
  <c r="NI25" i="5"/>
  <c r="NI29" i="5" s="1"/>
  <c r="RM23" i="5"/>
  <c r="RI23" i="5"/>
  <c r="RH23" i="5"/>
  <c r="RG23" i="5"/>
  <c r="RE23" i="5"/>
  <c r="RD23" i="5"/>
  <c r="RC23" i="5"/>
  <c r="RA23" i="5"/>
  <c r="QY23" i="5"/>
  <c r="QX23" i="5"/>
  <c r="QW23" i="5"/>
  <c r="QV23" i="5"/>
  <c r="QU23" i="5"/>
  <c r="QS23" i="5"/>
  <c r="QQ23" i="5"/>
  <c r="QO23" i="5"/>
  <c r="QN23" i="5"/>
  <c r="QM23" i="5"/>
  <c r="QK23" i="5"/>
  <c r="QI23" i="5"/>
  <c r="QH23" i="5"/>
  <c r="QG23" i="5"/>
  <c r="QF23" i="5"/>
  <c r="QE23" i="5"/>
  <c r="QA23" i="5"/>
  <c r="PW23" i="5"/>
  <c r="PV23" i="5"/>
  <c r="PQ23" i="5"/>
  <c r="PO23" i="5"/>
  <c r="PN23" i="5"/>
  <c r="PK23" i="5"/>
  <c r="PI23" i="5"/>
  <c r="PG23" i="5"/>
  <c r="PC23" i="5"/>
  <c r="PB23" i="5"/>
  <c r="PB30" i="5" s="1"/>
  <c r="PA23" i="5"/>
  <c r="OY23" i="5"/>
  <c r="OW23" i="5"/>
  <c r="OV23" i="5"/>
  <c r="OU23" i="5"/>
  <c r="OS23" i="5"/>
  <c r="OS30" i="5" s="1"/>
  <c r="OQ23" i="5"/>
  <c r="OO23" i="5"/>
  <c r="ON23" i="5"/>
  <c r="OM23" i="5"/>
  <c r="OL23" i="5"/>
  <c r="OK23" i="5"/>
  <c r="OI23" i="5"/>
  <c r="OG23" i="5"/>
  <c r="OF23" i="5"/>
  <c r="OE23" i="5"/>
  <c r="OE30" i="5" s="1"/>
  <c r="OC23" i="5"/>
  <c r="OA23" i="5"/>
  <c r="NZ23" i="5"/>
  <c r="NY23" i="5"/>
  <c r="NW23" i="5"/>
  <c r="NV23" i="5"/>
  <c r="NV30" i="5" s="1"/>
  <c r="NU23" i="5"/>
  <c r="NS23" i="5"/>
  <c r="NQ23" i="5"/>
  <c r="NO23" i="5"/>
  <c r="NN23" i="5"/>
  <c r="NM23" i="5"/>
  <c r="NK23" i="5"/>
  <c r="NJ23" i="5"/>
  <c r="NI23" i="5"/>
  <c r="RK22" i="5"/>
  <c r="RK23" i="5" s="1"/>
  <c r="RJ22" i="5"/>
  <c r="RJ23" i="5" s="1"/>
  <c r="RJ30" i="5" s="1"/>
  <c r="QC22" i="5"/>
  <c r="QC23" i="5" s="1"/>
  <c r="PY22" i="5"/>
  <c r="PY23" i="5" s="1"/>
  <c r="PX22" i="5"/>
  <c r="PX23" i="5" s="1"/>
  <c r="PS22" i="5"/>
  <c r="PS23" i="5" s="1"/>
  <c r="QZ21" i="5"/>
  <c r="PU21" i="5"/>
  <c r="PU23" i="5" s="1"/>
  <c r="PT21" i="5"/>
  <c r="PM21" i="5"/>
  <c r="PM23" i="5" s="1"/>
  <c r="PL21" i="5"/>
  <c r="RG17" i="5"/>
  <c r="RE17" i="5"/>
  <c r="RD17" i="5"/>
  <c r="QX17" i="5"/>
  <c r="QW17" i="5"/>
  <c r="QV17" i="5"/>
  <c r="QU17" i="5"/>
  <c r="QG17" i="5"/>
  <c r="QF17" i="5"/>
  <c r="PQ17" i="5"/>
  <c r="PP17" i="5"/>
  <c r="PI17" i="5"/>
  <c r="PG17" i="5"/>
  <c r="PE17" i="5"/>
  <c r="PD17" i="5"/>
  <c r="PC17" i="5"/>
  <c r="PB17" i="5"/>
  <c r="PA17" i="5"/>
  <c r="OV17" i="5"/>
  <c r="OU17" i="5"/>
  <c r="OS17" i="5"/>
  <c r="ON17" i="5"/>
  <c r="OK17" i="5"/>
  <c r="OF17" i="5"/>
  <c r="OE17" i="5"/>
  <c r="OD17" i="5"/>
  <c r="NX17" i="5"/>
  <c r="NW17" i="5"/>
  <c r="NV17" i="5"/>
  <c r="NU17" i="5"/>
  <c r="RM16" i="5"/>
  <c r="RM17" i="5" s="1"/>
  <c r="RK16" i="5"/>
  <c r="RK17" i="5" s="1"/>
  <c r="RJ16" i="5"/>
  <c r="RJ17" i="5" s="1"/>
  <c r="RI16" i="5"/>
  <c r="RI17" i="5" s="1"/>
  <c r="RH16" i="5"/>
  <c r="RH17" i="5" s="1"/>
  <c r="RC16" i="5"/>
  <c r="RC17" i="5" s="1"/>
  <c r="RA16" i="5"/>
  <c r="RA17" i="5" s="1"/>
  <c r="QZ16" i="5"/>
  <c r="QZ17" i="5" s="1"/>
  <c r="QY16" i="5"/>
  <c r="QY17" i="5" s="1"/>
  <c r="QS16" i="5"/>
  <c r="QS17" i="5" s="1"/>
  <c r="QQ16" i="5"/>
  <c r="QQ17" i="5" s="1"/>
  <c r="QO16" i="5"/>
  <c r="QO17" i="5" s="1"/>
  <c r="QN16" i="5"/>
  <c r="QN17" i="5" s="1"/>
  <c r="QM16" i="5"/>
  <c r="QM17" i="5" s="1"/>
  <c r="QK16" i="5"/>
  <c r="QK17" i="5" s="1"/>
  <c r="QE16" i="5"/>
  <c r="QE17" i="5" s="1"/>
  <c r="QC16" i="5"/>
  <c r="QC17" i="5" s="1"/>
  <c r="QA16" i="5"/>
  <c r="QA17" i="5" s="1"/>
  <c r="PY16" i="5"/>
  <c r="PY17" i="5" s="1"/>
  <c r="PX16" i="5"/>
  <c r="PX17" i="5" s="1"/>
  <c r="PW16" i="5"/>
  <c r="PW17" i="5" s="1"/>
  <c r="PV16" i="5"/>
  <c r="PV17" i="5" s="1"/>
  <c r="PU16" i="5"/>
  <c r="PU17" i="5" s="1"/>
  <c r="PT16" i="5"/>
  <c r="PT17" i="5" s="1"/>
  <c r="PS16" i="5"/>
  <c r="PS17" i="5" s="1"/>
  <c r="PO16" i="5"/>
  <c r="PO17" i="5" s="1"/>
  <c r="PN16" i="5"/>
  <c r="PN17" i="5" s="1"/>
  <c r="PK16" i="5"/>
  <c r="PK17" i="5" s="1"/>
  <c r="OY16" i="5"/>
  <c r="OY17" i="5" s="1"/>
  <c r="OW16" i="5"/>
  <c r="OW17" i="5" s="1"/>
  <c r="OQ16" i="5"/>
  <c r="OQ17" i="5" s="1"/>
  <c r="OO16" i="5"/>
  <c r="OO17" i="5" s="1"/>
  <c r="OM16" i="5"/>
  <c r="OM17" i="5" s="1"/>
  <c r="OL16" i="5"/>
  <c r="OL17" i="5" s="1"/>
  <c r="OI16" i="5"/>
  <c r="OI17" i="5" s="1"/>
  <c r="OG16" i="5"/>
  <c r="OG17" i="5" s="1"/>
  <c r="OC16" i="5"/>
  <c r="OC17" i="5" s="1"/>
  <c r="OA16" i="5"/>
  <c r="OA17" i="5" s="1"/>
  <c r="NZ16" i="5"/>
  <c r="NZ17" i="5" s="1"/>
  <c r="NY16" i="5"/>
  <c r="NY17" i="5" s="1"/>
  <c r="NS16" i="5"/>
  <c r="NS17" i="5" s="1"/>
  <c r="NQ16" i="5"/>
  <c r="NQ17" i="5" s="1"/>
  <c r="NO16" i="5"/>
  <c r="NO17" i="5" s="1"/>
  <c r="NN16" i="5"/>
  <c r="NN17" i="5" s="1"/>
  <c r="NM16" i="5"/>
  <c r="NM17" i="5" s="1"/>
  <c r="NK16" i="5"/>
  <c r="NJ16" i="5"/>
  <c r="NJ17" i="5" s="1"/>
  <c r="NI16" i="5"/>
  <c r="NI17" i="5" s="1"/>
  <c r="PM16" i="5"/>
  <c r="PM17" i="5" s="1"/>
  <c r="PL16" i="5"/>
  <c r="PL17" i="5" s="1"/>
  <c r="RM13" i="5"/>
  <c r="RK13" i="5"/>
  <c r="RJ13" i="5"/>
  <c r="RI13" i="5"/>
  <c r="RH13" i="5"/>
  <c r="RG13" i="5"/>
  <c r="RG18" i="5" s="1"/>
  <c r="RE13" i="5"/>
  <c r="RD13" i="5"/>
  <c r="RC13" i="5"/>
  <c r="RA13" i="5"/>
  <c r="QZ13" i="5"/>
  <c r="QY13" i="5"/>
  <c r="QX13" i="5"/>
  <c r="QW13" i="5"/>
  <c r="QV13" i="5"/>
  <c r="QU13" i="5"/>
  <c r="QS13" i="5"/>
  <c r="QQ13" i="5"/>
  <c r="QO13" i="5"/>
  <c r="QN13" i="5"/>
  <c r="QM13" i="5"/>
  <c r="QK13" i="5"/>
  <c r="QG13" i="5"/>
  <c r="QF13" i="5"/>
  <c r="QE13" i="5"/>
  <c r="QC13" i="5"/>
  <c r="QA13" i="5"/>
  <c r="PY13" i="5"/>
  <c r="PX13" i="5"/>
  <c r="PX18" i="5" s="1"/>
  <c r="PW13" i="5"/>
  <c r="PV13" i="5"/>
  <c r="PU13" i="5"/>
  <c r="PT13" i="5"/>
  <c r="PS13" i="5"/>
  <c r="PO13" i="5"/>
  <c r="PN13" i="5"/>
  <c r="PM13" i="5"/>
  <c r="PL13" i="5"/>
  <c r="PK13" i="5"/>
  <c r="PI13" i="5"/>
  <c r="PG13" i="5"/>
  <c r="PE13" i="5"/>
  <c r="PD13" i="5"/>
  <c r="PD18" i="5" s="1"/>
  <c r="PC13" i="5"/>
  <c r="OY13" i="5"/>
  <c r="OV13" i="5"/>
  <c r="OU13" i="5"/>
  <c r="OS13" i="5"/>
  <c r="OQ13" i="5"/>
  <c r="ON13" i="5"/>
  <c r="OM13" i="5"/>
  <c r="OK13" i="5"/>
  <c r="OI13" i="5"/>
  <c r="OE13" i="5"/>
  <c r="OD13" i="5"/>
  <c r="OC13" i="5"/>
  <c r="OA13" i="5"/>
  <c r="NZ13" i="5"/>
  <c r="NX13" i="5"/>
  <c r="NW13" i="5"/>
  <c r="NV13" i="5"/>
  <c r="NU13" i="5"/>
  <c r="NQ13" i="5"/>
  <c r="NO13" i="5"/>
  <c r="NN13" i="5"/>
  <c r="NM13" i="5"/>
  <c r="NK13" i="5"/>
  <c r="NJ13" i="5"/>
  <c r="NI13" i="5"/>
  <c r="OL11" i="5"/>
  <c r="OL13" i="5" s="1"/>
  <c r="QI10" i="5"/>
  <c r="QI13" i="5" s="1"/>
  <c r="PQ10" i="5"/>
  <c r="PQ13" i="5" s="1"/>
  <c r="PP10" i="5"/>
  <c r="PP13" i="5" s="1"/>
  <c r="PB10" i="5"/>
  <c r="PB13" i="5" s="1"/>
  <c r="PA10" i="5"/>
  <c r="PA13" i="5" s="1"/>
  <c r="OW10" i="5"/>
  <c r="OW13" i="5" s="1"/>
  <c r="OO10" i="5"/>
  <c r="OO13" i="5" s="1"/>
  <c r="OG10" i="5"/>
  <c r="OG13" i="5" s="1"/>
  <c r="OF10" i="5"/>
  <c r="OF13" i="5" s="1"/>
  <c r="NY10" i="5"/>
  <c r="NY13" i="5" s="1"/>
  <c r="NX10" i="5"/>
  <c r="NS10" i="5"/>
  <c r="NS13" i="5" s="1"/>
  <c r="RM8" i="5"/>
  <c r="RI8" i="5"/>
  <c r="RH8" i="5"/>
  <c r="RG8" i="5"/>
  <c r="RD8" i="5"/>
  <c r="RC8" i="5"/>
  <c r="RA8" i="5"/>
  <c r="QZ8" i="5"/>
  <c r="QU8" i="5"/>
  <c r="QO8" i="5"/>
  <c r="QN8" i="5"/>
  <c r="QK8" i="5"/>
  <c r="QG8" i="5"/>
  <c r="QF8" i="5"/>
  <c r="QC8" i="5"/>
  <c r="QA8" i="5"/>
  <c r="PY8" i="5"/>
  <c r="PX8" i="5"/>
  <c r="PW8" i="5"/>
  <c r="PV8" i="5"/>
  <c r="PT8" i="5"/>
  <c r="PS8" i="5"/>
  <c r="PQ8" i="5"/>
  <c r="PO8" i="5"/>
  <c r="PN8" i="5"/>
  <c r="PI8" i="5"/>
  <c r="PG8" i="5"/>
  <c r="PE8" i="5"/>
  <c r="PC8" i="5"/>
  <c r="PB8" i="5"/>
  <c r="PA8" i="5"/>
  <c r="OY8" i="5"/>
  <c r="OW8" i="5"/>
  <c r="OV8" i="5"/>
  <c r="OU8" i="5"/>
  <c r="OS8" i="5"/>
  <c r="OQ8" i="5"/>
  <c r="ON8" i="5"/>
  <c r="OM8" i="5"/>
  <c r="OL8" i="5"/>
  <c r="OK8" i="5"/>
  <c r="OG8" i="5"/>
  <c r="OF8" i="5"/>
  <c r="OE8" i="5"/>
  <c r="OD8" i="5"/>
  <c r="OC8" i="5"/>
  <c r="NY8" i="5"/>
  <c r="NX8" i="5"/>
  <c r="NW8" i="5"/>
  <c r="NV8" i="5"/>
  <c r="NU8" i="5"/>
  <c r="NS8" i="5"/>
  <c r="NQ8" i="5"/>
  <c r="NO8" i="5"/>
  <c r="NN8" i="5"/>
  <c r="NM8" i="5"/>
  <c r="NK8" i="5"/>
  <c r="NJ8" i="5"/>
  <c r="NH8" i="5"/>
  <c r="RK7" i="5"/>
  <c r="RK8" i="5" s="1"/>
  <c r="RJ7" i="5"/>
  <c r="RJ8" i="5" s="1"/>
  <c r="QY7" i="5"/>
  <c r="QX7" i="5"/>
  <c r="QW7" i="5"/>
  <c r="QW8" i="5" s="1"/>
  <c r="QV7" i="5"/>
  <c r="QV8" i="5" s="1"/>
  <c r="QS7" i="5"/>
  <c r="QS8" i="5" s="1"/>
  <c r="QQ7" i="5"/>
  <c r="QQ8" i="5" s="1"/>
  <c r="QM7" i="5"/>
  <c r="QM8" i="5" s="1"/>
  <c r="QD7" i="5"/>
  <c r="QD8" i="5" s="1"/>
  <c r="PU7" i="5"/>
  <c r="PU8" i="5" s="1"/>
  <c r="PT7" i="5"/>
  <c r="PM7" i="5"/>
  <c r="PM8" i="5" s="1"/>
  <c r="PL7" i="5"/>
  <c r="PL8" i="5" s="1"/>
  <c r="PK7" i="5"/>
  <c r="PK8" i="5" s="1"/>
  <c r="OO7" i="5"/>
  <c r="OO8" i="5" s="1"/>
  <c r="OI7" i="5"/>
  <c r="OA7" i="5"/>
  <c r="OA8" i="5" s="1"/>
  <c r="NZ7" i="5"/>
  <c r="NZ8" i="5" s="1"/>
  <c r="NI7" i="5"/>
  <c r="NI8" i="5" s="1"/>
  <c r="QY6" i="5"/>
  <c r="QX6" i="5"/>
  <c r="QI6" i="5"/>
  <c r="QE6" i="5"/>
  <c r="QE8" i="5" s="1"/>
  <c r="OI6" i="5"/>
  <c r="RE5" i="5"/>
  <c r="RE8" i="5" s="1"/>
  <c r="QI5" i="5"/>
  <c r="OI5" i="5"/>
  <c r="L18" i="3"/>
  <c r="L17" i="3"/>
  <c r="L21" i="3" s="1"/>
  <c r="L16" i="3"/>
  <c r="L13" i="3"/>
  <c r="L10" i="3"/>
  <c r="L5" i="3"/>
  <c r="L6" i="3" s="1"/>
  <c r="T32" i="2"/>
  <c r="W31" i="2"/>
  <c r="V31" i="2"/>
  <c r="U31" i="2"/>
  <c r="T31" i="2"/>
  <c r="W30" i="2"/>
  <c r="V30" i="2"/>
  <c r="U30" i="2"/>
  <c r="W25" i="2"/>
  <c r="V25" i="2"/>
  <c r="U25" i="2"/>
  <c r="W13" i="2"/>
  <c r="W20" i="2" s="1"/>
  <c r="V13" i="2"/>
  <c r="V20" i="2" s="1"/>
  <c r="U13" i="2"/>
  <c r="U20" i="2" s="1"/>
  <c r="T13" i="2"/>
  <c r="T20" i="2" s="1"/>
  <c r="W8" i="2"/>
  <c r="V8" i="2"/>
  <c r="U8" i="2"/>
  <c r="T8" i="2"/>
  <c r="AS22" i="1"/>
  <c r="AR22" i="1"/>
  <c r="AQ22" i="1"/>
  <c r="AP22" i="1"/>
  <c r="AO22" i="1"/>
  <c r="AN22" i="1"/>
  <c r="AM22" i="1"/>
  <c r="AL22" i="1"/>
  <c r="AS21" i="1"/>
  <c r="AR21" i="1"/>
  <c r="AQ21" i="1"/>
  <c r="AP21" i="1"/>
  <c r="AO21" i="1"/>
  <c r="AN21" i="1"/>
  <c r="AM21" i="1"/>
  <c r="AL21" i="1"/>
  <c r="AS17" i="1"/>
  <c r="AR17" i="1"/>
  <c r="AR23" i="1" s="1"/>
  <c r="AP17" i="1"/>
  <c r="AO17" i="1"/>
  <c r="AN17" i="1"/>
  <c r="AM17" i="1"/>
  <c r="AL17" i="1"/>
  <c r="AQ16" i="1"/>
  <c r="AQ17" i="1" s="1"/>
  <c r="AS13" i="1"/>
  <c r="AR13" i="1"/>
  <c r="AQ13" i="1"/>
  <c r="AP13" i="1"/>
  <c r="AO13" i="1"/>
  <c r="AN13" i="1"/>
  <c r="AM13" i="1"/>
  <c r="AL13" i="1"/>
  <c r="AS8" i="1"/>
  <c r="AR8" i="1"/>
  <c r="AQ8" i="1"/>
  <c r="AP8" i="1"/>
  <c r="AO8" i="1"/>
  <c r="AN8" i="1"/>
  <c r="AM8" i="1"/>
  <c r="AL8" i="1"/>
  <c r="X33" i="7" l="1"/>
  <c r="CE30" i="6"/>
  <c r="CO32" i="6"/>
  <c r="CP32" i="6"/>
  <c r="CF20" i="6"/>
  <c r="CP19" i="6"/>
  <c r="CP20" i="6" s="1"/>
  <c r="CN30" i="6"/>
  <c r="CN32" i="6" s="1"/>
  <c r="CL20" i="6"/>
  <c r="CB19" i="6"/>
  <c r="CB20" i="6" s="1"/>
  <c r="CG17" i="6"/>
  <c r="CG19" i="6" s="1"/>
  <c r="CG20" i="6" s="1"/>
  <c r="CG31" i="6"/>
  <c r="CO19" i="6"/>
  <c r="CO20" i="6" s="1"/>
  <c r="CJ20" i="6"/>
  <c r="CE32" i="6"/>
  <c r="CN8" i="6"/>
  <c r="CD20" i="6"/>
  <c r="CJ32" i="6"/>
  <c r="CE20" i="6"/>
  <c r="CL32" i="6"/>
  <c r="CH31" i="6"/>
  <c r="CN20" i="6"/>
  <c r="CJ31" i="6"/>
  <c r="CD30" i="6"/>
  <c r="CD32" i="6"/>
  <c r="OA18" i="5"/>
  <c r="QM18" i="5"/>
  <c r="RC18" i="5"/>
  <c r="PM28" i="5"/>
  <c r="QN18" i="5"/>
  <c r="NM30" i="5"/>
  <c r="NN18" i="5"/>
  <c r="NJ18" i="5"/>
  <c r="OS18" i="5"/>
  <c r="RH18" i="5"/>
  <c r="OI18" i="5"/>
  <c r="NU30" i="5"/>
  <c r="RM18" i="5"/>
  <c r="RH30" i="5"/>
  <c r="RG30" i="5"/>
  <c r="PM18" i="5"/>
  <c r="OV18" i="5"/>
  <c r="OV20" i="5" s="1"/>
  <c r="OM18" i="5"/>
  <c r="PB18" i="5"/>
  <c r="RH29" i="5"/>
  <c r="NY30" i="5"/>
  <c r="OV30" i="5"/>
  <c r="PQ18" i="5"/>
  <c r="NZ18" i="5"/>
  <c r="QK18" i="5"/>
  <c r="RA18" i="5"/>
  <c r="OK18" i="5"/>
  <c r="QU30" i="5"/>
  <c r="NN28" i="5"/>
  <c r="NI28" i="5"/>
  <c r="NI30" i="5" s="1"/>
  <c r="PT28" i="5"/>
  <c r="PU18" i="5"/>
  <c r="NI18" i="5"/>
  <c r="QW18" i="5"/>
  <c r="NM18" i="5"/>
  <c r="NV18" i="5"/>
  <c r="QF30" i="5"/>
  <c r="PV18" i="5"/>
  <c r="PT29" i="5"/>
  <c r="RK30" i="5"/>
  <c r="PU29" i="5"/>
  <c r="PN18" i="5"/>
  <c r="PY18" i="5"/>
  <c r="QQ18" i="5"/>
  <c r="RJ18" i="5"/>
  <c r="RD18" i="5"/>
  <c r="PV28" i="5"/>
  <c r="PV30" i="5" s="1"/>
  <c r="RC30" i="5"/>
  <c r="QI17" i="5"/>
  <c r="QI18" i="5" s="1"/>
  <c r="NQ18" i="5"/>
  <c r="PG18" i="5"/>
  <c r="QZ29" i="5"/>
  <c r="NO18" i="5"/>
  <c r="NN30" i="5"/>
  <c r="NS18" i="5"/>
  <c r="PS18" i="5"/>
  <c r="QC18" i="5"/>
  <c r="QY18" i="5"/>
  <c r="AE20" i="4"/>
  <c r="AF20" i="4"/>
  <c r="AE32" i="4"/>
  <c r="AF32" i="4"/>
  <c r="V32" i="2"/>
  <c r="U32" i="2"/>
  <c r="W32" i="2"/>
  <c r="OI8" i="5"/>
  <c r="QX8" i="5"/>
  <c r="PT18" i="5"/>
  <c r="QE18" i="5"/>
  <c r="ON18" i="5"/>
  <c r="PC18" i="5"/>
  <c r="QU18" i="5"/>
  <c r="RE18" i="5"/>
  <c r="PS30" i="5"/>
  <c r="NW30" i="5"/>
  <c r="OI30" i="5"/>
  <c r="PI30" i="5"/>
  <c r="PX28" i="5"/>
  <c r="PX30" i="5" s="1"/>
  <c r="OK28" i="5"/>
  <c r="OK30" i="5" s="1"/>
  <c r="OO28" i="5"/>
  <c r="OO30" i="5" s="1"/>
  <c r="RD28" i="5"/>
  <c r="RD30" i="5" s="1"/>
  <c r="QI8" i="5"/>
  <c r="OQ18" i="5"/>
  <c r="PW18" i="5"/>
  <c r="QV18" i="5"/>
  <c r="QZ18" i="5"/>
  <c r="NY18" i="5"/>
  <c r="QO18" i="5"/>
  <c r="NK17" i="5"/>
  <c r="NK18" i="5" s="1"/>
  <c r="OC18" i="5"/>
  <c r="OY18" i="5"/>
  <c r="OD18" i="5"/>
  <c r="PE18" i="5"/>
  <c r="QA30" i="5"/>
  <c r="PM29" i="5"/>
  <c r="PL18" i="5"/>
  <c r="PK18" i="5"/>
  <c r="OE18" i="5"/>
  <c r="OU18" i="5"/>
  <c r="QF18" i="5"/>
  <c r="QX18" i="5"/>
  <c r="PL29" i="5"/>
  <c r="NS28" i="5"/>
  <c r="NS30" i="5" s="1"/>
  <c r="PA28" i="5"/>
  <c r="PA30" i="5" s="1"/>
  <c r="OW18" i="5"/>
  <c r="QY8" i="5"/>
  <c r="QY20" i="5" s="1"/>
  <c r="NX18" i="5"/>
  <c r="RI18" i="5"/>
  <c r="NU18" i="5"/>
  <c r="PI18" i="5"/>
  <c r="QG18" i="5"/>
  <c r="PM30" i="5"/>
  <c r="ON30" i="5"/>
  <c r="PO18" i="5"/>
  <c r="QA18" i="5"/>
  <c r="QS18" i="5"/>
  <c r="RK18" i="5"/>
  <c r="NW18" i="5"/>
  <c r="PA18" i="5"/>
  <c r="OF30" i="5"/>
  <c r="QG30" i="5"/>
  <c r="L20" i="3"/>
  <c r="L22" i="3" s="1"/>
  <c r="AO23" i="1"/>
  <c r="BQ23" i="1"/>
  <c r="AQ23" i="1"/>
  <c r="AM23" i="1"/>
  <c r="AR14" i="1"/>
  <c r="AL23" i="1"/>
  <c r="AS23" i="1"/>
  <c r="AP14" i="1"/>
  <c r="AQ14" i="1"/>
  <c r="AP23" i="1"/>
  <c r="AS14" i="1"/>
  <c r="AL14" i="1"/>
  <c r="AM14" i="1"/>
  <c r="AN14" i="1"/>
  <c r="AO14" i="1"/>
  <c r="AN23" i="1"/>
  <c r="Z31" i="7"/>
  <c r="Z33" i="7" s="1"/>
  <c r="CG32" i="6"/>
  <c r="CH32" i="6"/>
  <c r="CF30" i="6"/>
  <c r="CF32" i="6" s="1"/>
  <c r="CB31" i="6"/>
  <c r="CN31" i="6"/>
  <c r="OG18" i="5"/>
  <c r="OF18" i="5"/>
  <c r="PP18" i="5"/>
  <c r="PC30" i="5"/>
  <c r="OO18" i="5"/>
  <c r="OL18" i="5"/>
  <c r="QI30" i="5"/>
  <c r="NJ28" i="5"/>
  <c r="NJ30" i="5" s="1"/>
  <c r="OQ28" i="5"/>
  <c r="OQ30" i="5" s="1"/>
  <c r="PN28" i="5"/>
  <c r="PN30" i="5" s="1"/>
  <c r="PW28" i="5"/>
  <c r="PW30" i="5" s="1"/>
  <c r="QI28" i="5"/>
  <c r="QV28" i="5"/>
  <c r="QV30" i="5" s="1"/>
  <c r="RE28" i="5"/>
  <c r="RE30" i="5" s="1"/>
  <c r="NK28" i="5"/>
  <c r="NK30" i="5" s="1"/>
  <c r="OG28" i="5"/>
  <c r="OG30" i="5" s="1"/>
  <c r="PO28" i="5"/>
  <c r="PO30" i="5" s="1"/>
  <c r="QK28" i="5"/>
  <c r="QK30" i="5" s="1"/>
  <c r="QW28" i="5"/>
  <c r="QW30" i="5" s="1"/>
  <c r="QU29" i="5"/>
  <c r="PT23" i="5"/>
  <c r="QZ23" i="5"/>
  <c r="QZ30" i="5" s="1"/>
  <c r="OU28" i="5"/>
  <c r="OU30" i="5" s="1"/>
  <c r="PY28" i="5"/>
  <c r="PY30" i="5" s="1"/>
  <c r="QM28" i="5"/>
  <c r="QM30" i="5" s="1"/>
  <c r="QX28" i="5"/>
  <c r="QX30" i="5" s="1"/>
  <c r="PG28" i="5"/>
  <c r="PG30" i="5" s="1"/>
  <c r="PQ28" i="5"/>
  <c r="PQ30" i="5" s="1"/>
  <c r="QN28" i="5"/>
  <c r="QN30" i="5" s="1"/>
  <c r="QY28" i="5"/>
  <c r="QY30" i="5" s="1"/>
  <c r="RI28" i="5"/>
  <c r="RI30" i="5" s="1"/>
  <c r="PL23" i="5"/>
  <c r="PL30" i="5" s="1"/>
  <c r="NO28" i="5"/>
  <c r="NO30" i="5" s="1"/>
  <c r="NZ28" i="5"/>
  <c r="NZ30" i="5" s="1"/>
  <c r="OL28" i="5"/>
  <c r="OL30" i="5" s="1"/>
  <c r="OW28" i="5"/>
  <c r="OW30" i="5" s="1"/>
  <c r="QC28" i="5"/>
  <c r="QC30" i="5" s="1"/>
  <c r="QO28" i="5"/>
  <c r="QO30" i="5" s="1"/>
  <c r="NQ28" i="5"/>
  <c r="NQ30" i="5" s="1"/>
  <c r="OA28" i="5"/>
  <c r="OA30" i="5" s="1"/>
  <c r="OM28" i="5"/>
  <c r="OM30" i="5" s="1"/>
  <c r="OY28" i="5"/>
  <c r="OY30" i="5" s="1"/>
  <c r="PK28" i="5"/>
  <c r="PK30" i="5" s="1"/>
  <c r="QE28" i="5"/>
  <c r="QE30" i="5" s="1"/>
  <c r="QQ28" i="5"/>
  <c r="QQ30" i="5" s="1"/>
  <c r="RA28" i="5"/>
  <c r="RA30" i="5" s="1"/>
  <c r="OC28" i="5"/>
  <c r="OC30" i="5" s="1"/>
  <c r="PU28" i="5"/>
  <c r="PU30" i="5" s="1"/>
  <c r="QS28" i="5"/>
  <c r="QS30" i="5" s="1"/>
  <c r="RM28" i="5"/>
  <c r="RM30" i="5" s="1"/>
  <c r="PT3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52934662</author>
    <author>Cenaida Jerez Ruiz</author>
  </authors>
  <commentList>
    <comment ref="OZ1" authorId="0" shapeId="0" xr:uid="{9B96B3AE-49E7-4A2A-B5DE-46CB2E003B5E}">
      <text>
        <r>
          <rPr>
            <b/>
            <sz val="8"/>
            <color indexed="81"/>
            <rFont val="Tahoma"/>
            <family val="2"/>
          </rPr>
          <t>52934662:</t>
        </r>
        <r>
          <rPr>
            <sz val="8"/>
            <color indexed="81"/>
            <rFont val="Tahoma"/>
            <family val="2"/>
          </rPr>
          <t xml:space="preserve">
Enviaron declaracion de renta y no es completa. Envie correo</t>
        </r>
      </text>
    </comment>
    <comment ref="NZ30" authorId="1" shapeId="0" xr:uid="{2D7E0F9D-0495-4A39-A8C2-F0ADDB5ADE0D}">
      <text>
        <r>
          <rPr>
            <b/>
            <sz val="9"/>
            <color indexed="81"/>
            <rFont val="Tahoma"/>
            <family val="2"/>
          </rPr>
          <t>diferente a la del balance por cuanto no tuvieron en cuenta las provisión de impuesto. 11/05/2011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F30" authorId="1" shapeId="0" xr:uid="{437761FA-C2BB-45D0-B5C8-F4E4C0EB5A56}">
      <text>
        <r>
          <rPr>
            <b/>
            <sz val="9"/>
            <color indexed="81"/>
            <rFont val="Tahoma"/>
            <family val="2"/>
          </rPr>
          <t>diferente a la del balance por cuanto no tuvieron en cuenta las provisión de impuesto. 11/05/2011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41738069</author>
  </authors>
  <commentList>
    <comment ref="CG1" authorId="0" shapeId="0" xr:uid="{464075A6-666F-4676-BC6C-984959E62A8F}">
      <text>
        <r>
          <rPr>
            <b/>
            <sz val="8"/>
            <color indexed="81"/>
            <rFont val="Tahoma"/>
            <family val="2"/>
          </rPr>
          <t>41738069:</t>
        </r>
        <r>
          <rPr>
            <sz val="8"/>
            <color indexed="81"/>
            <rFont val="Tahoma"/>
            <family val="2"/>
          </rPr>
          <t xml:space="preserve">
NO TRAE REPORE DE P Y G Y EN LAS NOTAS NO SE CUENTA CON INFORMACION PARA RECONSTRUIR EL P Y G.</t>
        </r>
      </text>
    </comment>
    <comment ref="EC1" authorId="0" shapeId="0" xr:uid="{534D2F13-910B-4B1E-A74C-362584456220}">
      <text>
        <r>
          <rPr>
            <b/>
            <sz val="8"/>
            <color indexed="81"/>
            <rFont val="Tahoma"/>
            <family val="2"/>
          </rPr>
          <t>41738069:</t>
        </r>
        <r>
          <rPr>
            <sz val="8"/>
            <color indexed="81"/>
            <rFont val="Tahoma"/>
            <family val="2"/>
          </rPr>
          <t xml:space="preserve">
NO TRAE REPORE DE P Y G Y EN LAS NOTAS NO SE CUENTA CON INFORMACION PARA RECONSTRUIR EL P Y G.</t>
        </r>
      </text>
    </comment>
  </commentList>
</comments>
</file>

<file path=xl/sharedStrings.xml><?xml version="1.0" encoding="utf-8"?>
<sst xmlns="http://schemas.openxmlformats.org/spreadsheetml/2006/main" count="949" uniqueCount="286">
  <si>
    <t>RUBROS / PERIODOS</t>
  </si>
  <si>
    <t>COPA AIRLINE COLOMBIA - AEROREPUBLICA</t>
  </si>
  <si>
    <t>AVIANCA S.A.</t>
  </si>
  <si>
    <t>AIRES</t>
  </si>
  <si>
    <t>VIVA COLOMBIA</t>
  </si>
  <si>
    <t>BALANCE GENERAL</t>
  </si>
  <si>
    <t xml:space="preserve"> A  C  T  I  V  O  S </t>
  </si>
  <si>
    <t>ACTIVO CORRIENTE</t>
  </si>
  <si>
    <t>ACTIVO FIJO</t>
  </si>
  <si>
    <t>OTROS ACTIVOS</t>
  </si>
  <si>
    <t>TOTAL ACTIVO</t>
  </si>
  <si>
    <t>P  A  S  I  V  O  S</t>
  </si>
  <si>
    <t>PASIVO CORRIENTE</t>
  </si>
  <si>
    <t>PASIVO A LARGO PLAZO</t>
  </si>
  <si>
    <t>OTROS PASIVOS</t>
  </si>
  <si>
    <t>TOTAL PASIVO</t>
  </si>
  <si>
    <t xml:space="preserve">P A T R I M O N I O </t>
  </si>
  <si>
    <t>CAPITAL (PAGADO)</t>
  </si>
  <si>
    <t>UTILIDAD (PERDIDA) DEL EJERCICIO</t>
  </si>
  <si>
    <t>UTILIDAD (PERDIDAS) ACUMULADAS</t>
  </si>
  <si>
    <t>OTROS</t>
  </si>
  <si>
    <t>TOTAL PATRIMONIO</t>
  </si>
  <si>
    <t>TOTAL PASIVO Y PATRIMONIO</t>
  </si>
  <si>
    <t>INGRESOS Y EGRESOS</t>
  </si>
  <si>
    <t>I N G R E S O S</t>
  </si>
  <si>
    <t>INGRESOS OPERACIONALES</t>
  </si>
  <si>
    <t>OTROS INGRESOS</t>
  </si>
  <si>
    <t>TOTAL INGRESOS</t>
  </si>
  <si>
    <t>G A S T O S</t>
  </si>
  <si>
    <t>COSTOS Y GASTOS OPERACIONALES</t>
  </si>
  <si>
    <t>OTROS GASTOS</t>
  </si>
  <si>
    <t>PROVISION PARA IMPUESTOS</t>
  </si>
  <si>
    <t>TOTAL GASTOS</t>
  </si>
  <si>
    <t>UTILIDAD (PERDIDA) OPERACIONAL</t>
  </si>
  <si>
    <t xml:space="preserve">UTILIDAD (PERDIDA) NETA        </t>
  </si>
  <si>
    <t>ADA AEROLINEA DE ANTIOQUIA</t>
  </si>
  <si>
    <t>EASYFLY</t>
  </si>
  <si>
    <t>SATENA</t>
  </si>
  <si>
    <t>AEXPA</t>
  </si>
  <si>
    <t>SEARCA S.A</t>
  </si>
  <si>
    <t>TAC - TRANSPORTE AEREO DE COLOMBIA S.A.</t>
  </si>
  <si>
    <t>AER CARIBE - AEROLINEA DEL CARIBE</t>
  </si>
  <si>
    <t>AEROAPOYO LTDA - TRANSPORTE AEREO DEL APOYO PETROLERO</t>
  </si>
  <si>
    <t>ACA AEROCHARTER ANDINA S.A.</t>
  </si>
  <si>
    <t>AEROCOL LTDA</t>
  </si>
  <si>
    <t xml:space="preserve">AEROEJECUTIVOS DE ANTIOQUIA </t>
  </si>
  <si>
    <t xml:space="preserve">AEROESTAR LTDA </t>
  </si>
  <si>
    <t>AEROEXPRESS S.A.</t>
  </si>
  <si>
    <t>AEROGALAN LTDA</t>
  </si>
  <si>
    <t>AEROLINEAS ALAS DE COLOMBIA</t>
  </si>
  <si>
    <t>INTEREJECUTIVA-  LA OXCI - AEROVILLA</t>
  </si>
  <si>
    <t>ALLAS - AEROVANGUARDIA LTDA</t>
  </si>
  <si>
    <t>AERUPIA</t>
  </si>
  <si>
    <t>ARALL - AEROLINEAS LLANERAS</t>
  </si>
  <si>
    <t>AERO TAXI GUAYMARAL</t>
  </si>
  <si>
    <t xml:space="preserve">AIR SIGNATURE - </t>
  </si>
  <si>
    <t>ALPES EU -AEROLINEAS PETROLERAS DE CASANARE E.U.</t>
  </si>
  <si>
    <t>ARO LTDA - AEROVIAS REGIONALES DEL ORIENTE</t>
  </si>
  <si>
    <t>AVIOCHARTER</t>
  </si>
  <si>
    <t>AVIOCESAR LTDA</t>
  </si>
  <si>
    <t>TACA LTDA - TAXI AEREO CARIBEÑO LTDA</t>
  </si>
  <si>
    <t>TAERCO LTDA  - TAXI AEREO COLOMBIANO LTDA</t>
  </si>
  <si>
    <t>TARI LTDA - TRANSPORTES AEREOS DEL ARIARI</t>
  </si>
  <si>
    <t>TAXCO S.A.S</t>
  </si>
  <si>
    <t>TECNIAEREAS LTDA</t>
  </si>
  <si>
    <t>VERTICAL DE AVIACION LTDA</t>
  </si>
  <si>
    <t>VIANA LTDA</t>
  </si>
  <si>
    <t>AMERICAS AIR SAS</t>
  </si>
  <si>
    <t>NACIONAL DE AVIACION</t>
  </si>
  <si>
    <t>PACIFICA DE AVIACION</t>
  </si>
  <si>
    <t>SOLAIR S.A.S.</t>
  </si>
  <si>
    <t>AEROSUCRE S.A.</t>
  </si>
  <si>
    <t>AIR COLOMBIA LTDA</t>
  </si>
  <si>
    <t>ALIANSA S.A.- AEROLINEAS ANDINAS S.A.</t>
  </si>
  <si>
    <t>CV.CARGO</t>
  </si>
  <si>
    <t>LINEA AEREA CARGUERA DE COLOMBIA S.A.( PAQ.DE LANCO)</t>
  </si>
  <si>
    <t>LAS S.A. - LINEAS AEREAS SURAMERICANAS S.A.</t>
  </si>
  <si>
    <t>SELVA LTDA</t>
  </si>
  <si>
    <t>SADELCA LTDA</t>
  </si>
  <si>
    <t>TAMPA  S.A.</t>
  </si>
  <si>
    <t>ACTIVOS CORRIENTES</t>
  </si>
  <si>
    <t>SAEP S.A.</t>
  </si>
  <si>
    <t>AVIHECO S.A.</t>
  </si>
  <si>
    <t xml:space="preserve">AEROREPUBLICA - COPA AIRLINE COLOMBIA - </t>
  </si>
  <si>
    <t>ACA-  AEROCHARTER ANDINA S.A.</t>
  </si>
  <si>
    <t>AEROMEL su</t>
  </si>
  <si>
    <t>AEROMENEGUA</t>
  </si>
  <si>
    <r>
      <t xml:space="preserve">AIR SIGNATURE - </t>
    </r>
    <r>
      <rPr>
        <b/>
        <sz val="8"/>
        <color indexed="10"/>
        <rFont val="Times New Roman"/>
        <family val="1"/>
      </rPr>
      <t>PEOPER VENCIDO</t>
    </r>
  </si>
  <si>
    <r>
      <t xml:space="preserve">ASES - AEROSERVICIOS ESPECIALIZADOS 
</t>
    </r>
    <r>
      <rPr>
        <b/>
        <sz val="8"/>
        <color indexed="10"/>
        <rFont val="Times New Roman"/>
        <family val="1"/>
      </rPr>
      <t>PEOPER VENCIDO</t>
    </r>
  </si>
  <si>
    <t>CENTRAL CHARTER DE COLOMBIA S.A.</t>
  </si>
  <si>
    <t>CHARTER DEL CARIBE S.A.</t>
  </si>
  <si>
    <t>CHARTER EXPRESS SAS</t>
  </si>
  <si>
    <r>
      <t xml:space="preserve">CUSIANA
  </t>
    </r>
    <r>
      <rPr>
        <b/>
        <sz val="8"/>
        <color indexed="10"/>
        <rFont val="Times New Roman"/>
        <family val="1"/>
      </rPr>
      <t xml:space="preserve"> PEOPER VENCIDO</t>
    </r>
  </si>
  <si>
    <t>DELTA HELICOPTEROS (SERVICIO POR TODO LO ALTO)</t>
  </si>
  <si>
    <t>HELI JET SAS</t>
  </si>
  <si>
    <t>HELIAV LTDA  - HELICOPEROS Y AVIONES LTDA</t>
  </si>
  <si>
    <t>HELICOL S.A.</t>
  </si>
  <si>
    <t>HELIFLY</t>
  </si>
  <si>
    <t xml:space="preserve">HELIGOLFO S.A. </t>
  </si>
  <si>
    <t>HELISERVICE LTDA (SERVICIOS AEREOS)</t>
  </si>
  <si>
    <t>HELISTAR LTDA</t>
  </si>
  <si>
    <t>HELITEC S.A.(HELICOPTEROS TERRITORIALES DE COLOMBIA)</t>
  </si>
  <si>
    <t xml:space="preserve">INTEREJECUTIVA </t>
  </si>
  <si>
    <t>LANS - LINEAS AEREAS DEL NORTE DE SANTANDER LTDA</t>
  </si>
  <si>
    <t>LASER AÉREO</t>
  </si>
  <si>
    <t>LLANERA DE AVIACION S.A.</t>
  </si>
  <si>
    <t>RIO SUR S.A.</t>
  </si>
  <si>
    <t>SADI (SOCIEDAD AEREA DE IBAGUE LTDA)</t>
  </si>
  <si>
    <t>SAER LTDA (SERVICIO AEREO REGIONAL )</t>
  </si>
  <si>
    <t>SARPA LTDA (SERVICIOS AEREOS PANAMERICANOS LTDA)</t>
  </si>
  <si>
    <t>SASA Colombia S.A.  SOCIEDAD AERONAUTICA DE  SANTANDER</t>
  </si>
  <si>
    <t>SAVIARE LTDA  (SERVICIOS AEREOS DEL GUAVIARE LTDA</t>
  </si>
  <si>
    <t>SICHER HELICOPTERS S.A.S</t>
  </si>
  <si>
    <t>TACA - TAXI AEREO CARIBEÑO</t>
  </si>
  <si>
    <t>TAXCO S.A.S- TAXI AEREO DE LA COSTA</t>
  </si>
  <si>
    <t>CV.CARGO su</t>
  </si>
  <si>
    <t xml:space="preserve">AER CARIBE </t>
  </si>
  <si>
    <t>AEXPA SUSPENDIDA
N/A</t>
  </si>
  <si>
    <t>AEROLINEAS ALAS DE COLOMBIA
N/A</t>
  </si>
  <si>
    <t>AEROMEL 
CANCELADA</t>
  </si>
  <si>
    <t>AIR SIGNATURE - 
SU</t>
  </si>
  <si>
    <t xml:space="preserve">ASES - AEROSERVICIOS ESPECIALIZADOS 
</t>
  </si>
  <si>
    <t xml:space="preserve">CUSIANA
SU
  </t>
  </si>
  <si>
    <t>NACIONAL DE AVIACION
N/A</t>
  </si>
  <si>
    <t>VIP HELICOPTEROS
TECNIAEREAS LTDA</t>
  </si>
  <si>
    <t>AEROLINEAS ALAS DE COLOMBIA (SUSPENDIDA)
N/A</t>
  </si>
  <si>
    <t>AEROMEL 
(CANCELADA)</t>
  </si>
  <si>
    <t>AIR SIGNATURE</t>
  </si>
  <si>
    <t xml:space="preserve">CUSIANA (SUSPENDIDA)
  </t>
  </si>
  <si>
    <t>HELIAV S.A.S  - HELICOPEROS Y AVIONES S.A.S</t>
  </si>
  <si>
    <t>HELICOL S.A.S</t>
  </si>
  <si>
    <t>VIANA S.A.S</t>
  </si>
  <si>
    <t>AIR SIGNATURE (CANCELADA)</t>
  </si>
  <si>
    <t>AEROLINEAS DEL LLANO S.A.S</t>
  </si>
  <si>
    <t>ARALL - AEROLINEAS LLANERAS (No se toma en cuenta por mala calidad de la información)</t>
  </si>
  <si>
    <t>AVIOCHARTER (no presento información)</t>
  </si>
  <si>
    <t>HELITEC S.A.(HELICOPTEROS TERRITORIALES DE COLOMBIA) (SUSPENDIDA)</t>
  </si>
  <si>
    <t>NACIONAL DE AVIACION
N/A (SUSPENDIDA)</t>
  </si>
  <si>
    <t>SAER LTDA (SERVICIO AEREO REGIONAL ) (No presento información)</t>
  </si>
  <si>
    <t xml:space="preserve">SICHER HELICOPTERS S.A.S </t>
  </si>
  <si>
    <t>TACA - TAXI AEREO CARIBEÑO (SUSPENDIDO)</t>
  </si>
  <si>
    <t>VIP HELICOPTEROS
TECNIAEREAS LTDA (No presento información)</t>
  </si>
  <si>
    <t xml:space="preserve">AEXPA </t>
  </si>
  <si>
    <t xml:space="preserve">AVIOCHARTER </t>
  </si>
  <si>
    <t xml:space="preserve">SAER LTDA (SERVICIO AEREO REGIONAL ) </t>
  </si>
  <si>
    <t>VIP HELICOPTEROS
TECNIAEREAS LTDA (suspendido)</t>
  </si>
  <si>
    <t>SADELCA LTDA (suspendida)</t>
  </si>
  <si>
    <t>SELVA LTDA (suspendida)</t>
  </si>
  <si>
    <t xml:space="preserve">REGIONAL EXPRESS AMERICA </t>
  </si>
  <si>
    <t xml:space="preserve">         FAST COLOMBIA </t>
  </si>
  <si>
    <t>EASY FLY</t>
  </si>
  <si>
    <t>ALIANSA</t>
  </si>
  <si>
    <t>AEROSUCRE</t>
  </si>
  <si>
    <t>LANCO</t>
  </si>
  <si>
    <t>LAS</t>
  </si>
  <si>
    <t>AEROLINEA DEL CARIBE</t>
  </si>
  <si>
    <t>TAMPA</t>
  </si>
  <si>
    <t>SEARCA</t>
  </si>
  <si>
    <t>TAC</t>
  </si>
  <si>
    <t>AVIACION ESPECIALIZADA HANGAR 29</t>
  </si>
  <si>
    <t xml:space="preserve">AVIANLINE
</t>
  </si>
  <si>
    <t>AVIOINGENIERIA</t>
  </si>
  <si>
    <t xml:space="preserve">DELTA HELICOPTEROS </t>
  </si>
  <si>
    <t>GOOD FLY</t>
  </si>
  <si>
    <t>HELISUR ERVICE LTDA (SERVICIOS AEREOS)</t>
  </si>
  <si>
    <t>HORIZONTAL DE AVIACION</t>
  </si>
  <si>
    <t>LOS HALCONES SAS</t>
  </si>
  <si>
    <t>SIS SOLUCIONES INTEGRALES GNSS</t>
  </si>
  <si>
    <t>AEROLÍNEA DEL CARIBE S.A. - AER CARIBE S.A.</t>
  </si>
  <si>
    <t>AEROLÍNEAS ANDINAS S.A. - ALIANSA</t>
  </si>
  <si>
    <t>AEROSERVICIOS ESPECIALIZADO SAS ASES SAS</t>
  </si>
  <si>
    <t>AEROTAXI GUAYMARAL</t>
  </si>
  <si>
    <t>AEROEJECUTIVOS DE ANTIOQUIA S.A.</t>
  </si>
  <si>
    <t>AERO EXPRESS SAS</t>
  </si>
  <si>
    <t>STARBLUE AIRLINES - ANTES AEROGALAN - LINEAS AEREAS GALAN SAS</t>
  </si>
  <si>
    <t xml:space="preserve">AEROLINEAS LLANERAS ARALL LTDA </t>
  </si>
  <si>
    <t xml:space="preserve">AEROLINEAS PETROLERAS SAS ALPES </t>
  </si>
  <si>
    <t>AEROPACA SAS</t>
  </si>
  <si>
    <t xml:space="preserve">  AEROVIAS REGIONALES DEL ORIENTE S.A.S ARO S.A.S</t>
  </si>
  <si>
    <t>CUSTOM AVIATION SAS ANTES HELIFLY</t>
  </si>
  <si>
    <t>NATIV AIR S.A.S. antes  "HELIAV S.A.S."</t>
  </si>
  <si>
    <t>HELISUR SAS</t>
  </si>
  <si>
    <t>LANS S.A.S. LINEAS AEREAS DEL NORTE DE SANTANDER S.A.S.</t>
  </si>
  <si>
    <t>LATINOAMERICANA DE SERVICIOS AEREO S.A.S. LASER AEREO S.A.S.</t>
  </si>
  <si>
    <t>AEROLINEAS DEL LLANO SAS ALLAS</t>
  </si>
  <si>
    <t>SAE SERVICIOS AÉREOS ESPECIALES GLOBAL LIFE AMBULANCIAS S.A.S.</t>
  </si>
  <si>
    <t>TAERCO - TAXI AEREO COLOMBIANO LTDA.</t>
  </si>
  <si>
    <t>4- EMPRESA AEREA DE SERVICIOS Y FACILITACIÓN LOGISTICA INTEGRAL SA - CLIC AIR</t>
  </si>
  <si>
    <t>PATRIMONIO_CAPITAL(PAGADO)</t>
  </si>
  <si>
    <t>OTROS CAPITAL</t>
  </si>
  <si>
    <t>ADA</t>
  </si>
  <si>
    <t xml:space="preserve">         FAST COLOMBIA  - VIVA</t>
  </si>
  <si>
    <t xml:space="preserve">MOON FLIGHTS S.A.S. </t>
  </si>
  <si>
    <t>AEROREPUBLICA</t>
  </si>
  <si>
    <t xml:space="preserve">AVIANCA </t>
  </si>
  <si>
    <t>Regular Internacional</t>
  </si>
  <si>
    <t>Empresa Regular Internacional</t>
  </si>
  <si>
    <t>1- LATAM AIRLINES ECUADOR SA SUCURSAL COLOMBIA
NIT 901554189-9</t>
  </si>
  <si>
    <t>2- LATAM AIRLINES GROUP SA SUCURSAL COLOMBIA</t>
  </si>
  <si>
    <t>3- TAM LINHAS 
AÉREAS S A SUCURSAL COLOMBIA</t>
  </si>
  <si>
    <t>4- Sky Airline Perú SAC Sucursal Colombia
NIT: 860007369-4</t>
  </si>
  <si>
    <t>5- Sky Airline SA Sucursal Colombia
NIT: 901368737-8</t>
  </si>
  <si>
    <t>6- AIR CANADA SUCURSAL COLOMBIA</t>
  </si>
  <si>
    <t>7- Air Transat AT INC Sucursal Colombia</t>
  </si>
  <si>
    <t>8- LATAM AIRLINES PERU SA SUCURSAL COLOMBIA</t>
  </si>
  <si>
    <t>9- AVIANCA COSTA RICA SA SUCURSAL COLOMBIA
NIT 892400030-4</t>
  </si>
  <si>
    <t>10- Avianca Ecuador SA Sucursal Colombia 
NIT 9000881121</t>
  </si>
  <si>
    <t>11- Avianca Perú SA Sucursal Colombia 
NIT 830078083-8</t>
  </si>
  <si>
    <t>12- Taca Internacional Airlines SA Sucursal Colombia 
NIT: 900460506-2</t>
  </si>
  <si>
    <t>13- Aviateca Sociedad Anónima Sucursal Colombia 
NIT 800203260-2</t>
  </si>
  <si>
    <t>14- IBERIA LINEAS AEREAS DE ESPAÑA SA</t>
  </si>
  <si>
    <t>15- CONCESIONARIA VUELA COMPANÍA DE AVIACIÓN SAPI DE CV SUC COLOMBIA</t>
  </si>
  <si>
    <t>16- VUELA AVIACIÓN SA SUCURSAL COLOMBIA
NIT: 901493376-7</t>
  </si>
  <si>
    <t>17- AEROVIAS DE MEXICO SA
AEROMEXICO SUCURSAL COLOMBIA
NIT: 900254148-6</t>
  </si>
  <si>
    <t>18- PLUS ULTRA LINEAS AEREAS SA SUCURSAL COLOMBIA</t>
  </si>
  <si>
    <t>19- AEROLINEAS ARGENTINAS SOCIEDAD ANONIMA</t>
  </si>
  <si>
    <t>20- EZ AIR SUCURSAL COLOMBIA
NIT 901346819-9</t>
  </si>
  <si>
    <t>21- TURKISH AIRLINES INC SUCURSAL COLOMBIA 
Nit 900958911-1</t>
  </si>
  <si>
    <t>22- JETBLUE AIRWAYS CORPORATION SUCURSAL COLOMBIA
NIT: 900254399 - 8</t>
  </si>
  <si>
    <t>23- UNITED AIRLINES INC
NIT: 900496730 - 1</t>
  </si>
  <si>
    <t>24- SOCIEDAD AIR FRANCE
Nit 860007369-4</t>
  </si>
  <si>
    <t>25- LINEA AEREA DE SERVICIO EJECUTIVO LASER CA SUCURSAL COLOMBIA</t>
  </si>
  <si>
    <t>26- KLM COMPAÑIA REAL HOLANDESA DE AVIACION
SUCURSAL COLOMBIA
NIT 860009876-6</t>
  </si>
  <si>
    <t>27- Compañía Panameña de Aviación SA - Copa Airlines</t>
  </si>
  <si>
    <t>-</t>
  </si>
  <si>
    <t>CAPITAL OTROS</t>
  </si>
  <si>
    <t>AEROGALAN LTDA AHORA STAR BLUE</t>
  </si>
  <si>
    <t>AEROTAXI DEL UPIA SAS</t>
  </si>
  <si>
    <t xml:space="preserve">AVIANLINE CHARTER´S SAS
</t>
  </si>
  <si>
    <t>CHARTER DEL CARIBE S.A.S</t>
  </si>
  <si>
    <t>DELTA HELICÓPTEROS S.A.S</t>
  </si>
  <si>
    <t>HELISERVICE SAS</t>
  </si>
  <si>
    <t>HORIZONTAL DE AVIACIÓN S.A.S. en reorganización FLEXAIR S.A.S</t>
  </si>
  <si>
    <t>INTERNACIONAL EJECUTIVA DE AVIACION S.A.S.
“INTEREJECUTIVA”</t>
  </si>
  <si>
    <t>SARPA
SERVICIOS AEREOS PANAMERICANOS S.A.S.</t>
  </si>
  <si>
    <t xml:space="preserve">SERVICIOS INTEGRALES HELICOPORTADOS S.A.S. -SICHER HELICOPTERS S.A.S </t>
  </si>
  <si>
    <t xml:space="preserve">SIS SOLUCIONES INTEGRALES GNSS S.A.S </t>
  </si>
  <si>
    <t>1- AEROLINEAS DEL LLANO ALLA SAS</t>
  </si>
  <si>
    <t>2- LLANERA DE AVIACIÓN SAS</t>
  </si>
  <si>
    <t>3- NATIV AIR SAS</t>
  </si>
  <si>
    <t>4- AEROVIAS REGIONALES DEL ORIENTE SAS
NIT 800086107 - 0</t>
  </si>
  <si>
    <t>5- AEROEXPRESS SAS
NIT: 811033782</t>
  </si>
  <si>
    <t>6- SERVICIO AEREO DE CAPURGANA SA</t>
  </si>
  <si>
    <t>7- DELTA HELICOPTEROS SAS
NIT: 900226716</t>
  </si>
  <si>
    <t>8- Helistar SAS
NIT: 811020344-6</t>
  </si>
  <si>
    <t>9- AEROVIAS REGIONALES DEL ORIENTE SAS
NIT: 800086107 - 0</t>
  </si>
  <si>
    <t>10- HELISERVICE SAS
NIT 800053544-4</t>
  </si>
  <si>
    <t>11- SERVICIOS AEREOS DEL GUAVIARE LTDA
NIT 800152647-9</t>
  </si>
  <si>
    <t>12- SOCIEDAD AERONAUTICA DE SANTANDER SAS
NIT: 800.043.763-8</t>
  </si>
  <si>
    <t>13- SERVICIO AEREO DE LA ORINOQUIA SAS
NIT 901527740-3</t>
  </si>
  <si>
    <t>14- ISATECH CORPORATION SAS
NIT 900292243-1</t>
  </si>
  <si>
    <t>15- HELIJET SAS
NIT: 830108998-1</t>
  </si>
  <si>
    <t>16- HELIGOLFO SAS</t>
  </si>
  <si>
    <t>17- HELICENTRO SAS</t>
  </si>
  <si>
    <t>18- HANGAR 29 SAS
NIT: 900713438-7</t>
  </si>
  <si>
    <t>19- CHARTER DEL CARIBE SAS</t>
  </si>
  <si>
    <t>20- ALLIANCE AVIATION COLOMBIA SAS</t>
  </si>
  <si>
    <t>21- RIO SUR SAS
NIT: 800149580-3</t>
  </si>
  <si>
    <t>22- AERO TAXI GUAYMARAL ATG SAS
NIT 900142183-X</t>
  </si>
  <si>
    <t>23- AVIANLINE CHAERTERS SAS
NIT: 901076189-8</t>
  </si>
  <si>
    <t>24- AVIONES DEL CESAR SAS</t>
  </si>
  <si>
    <t>25- AEROLINEAS LLANERAS ARALL LTDA
NIT 892001725 - 2</t>
  </si>
  <si>
    <t>26- AEROEJECUTIVOS DE ANTIOQUIA SAS
NIT: 811030546-1</t>
  </si>
  <si>
    <t>27- PACIFICA DE AVIACION SAS
NIT 830,514,084-6</t>
  </si>
  <si>
    <t>28- AVIATEC SAS</t>
  </si>
  <si>
    <t>29- INTERNACIONAL EJECUTIVA DE AVIACIÓN SAS</t>
  </si>
  <si>
    <t>30- SYNERJET LATINA</t>
  </si>
  <si>
    <t>31- Taxi Aereo Colombiano TAERCO</t>
  </si>
  <si>
    <t>32- GOOD FLY CO SAS
NIT: 900638251-6</t>
  </si>
  <si>
    <t>33- SOLAIR SAS
NIT 805019730</t>
  </si>
  <si>
    <t>34- HELICOPTEROS AGRICOLAS DE COLOMBIA SAS</t>
  </si>
  <si>
    <t>35- HELICE LTDA</t>
  </si>
  <si>
    <t>36- SERVICIOS AEREOS PANAMERICANOS SAS</t>
  </si>
  <si>
    <t>37- AEROTAXI DEL UPIA SAS
NIT 800213471-2</t>
  </si>
  <si>
    <t>38- SERVICIO AÉREO DEL ORIENTE S.A.S. - SAO S.A.S. Nit. 822,001,727-2</t>
  </si>
  <si>
    <t>39- AEROLINEA REGIONAL DE COLOMBIA SAS
NIT 800115731-2</t>
  </si>
  <si>
    <t>40- AEROESTAR LTDA
NIT 900132478-8</t>
  </si>
  <si>
    <t>41- HELICÓPTEROS NACIONALES DE COLOMBIA SAS EN REORGANIZACIÓN- HELICOL SAS</t>
  </si>
  <si>
    <t>42- HELICES DEL META SAS
NIT 892.002.838 - 0</t>
  </si>
  <si>
    <t>43- Internacional Ejecutiva de Aviación SAS</t>
  </si>
  <si>
    <t>44- LINEAS AEREAS DEL NORTE DE SANTANDER LANS SAS</t>
  </si>
  <si>
    <t>45- SERVICIOS INTEGRALES HELICOPORTADOS S.A.S SICHER
NIT: 800.055.561-9</t>
  </si>
  <si>
    <t>46- SERVICIOS AEREOS ESPECIALIZADOS EN TRANSPORTES PETROLEROS
NIT: 860.075.359</t>
  </si>
  <si>
    <t>47- SIS SOLUCIONES INTEGRALES GNSS S.A.S
NIT: 830.126.135-9</t>
  </si>
  <si>
    <t>LANCO - LINEAS AEREA DE COLOMBIA</t>
  </si>
  <si>
    <t xml:space="preserve"> LAS - LINEAS AEREAS SURAMERICANAS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</si>
</sst>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0_ ;\-0\ "/>
    <numFmt numFmtId="166" formatCode="_(* #,##0_);_(* \(#,##0\);_(* &quot;-&quot;_);_(@_)"/>
    <numFmt numFmtId="167" formatCode="_-&quot;$&quot;* #,##0.00_-;\-&quot;$&quot;* #,##0.00_-;_-&quot;$&quot;* &quot;-&quot;??_-;_-@_-"/>
    <numFmt numFmtId="174" formatCode="#,##0,"/>
  </numFmts>
  <fonts count="3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Helv"/>
    </font>
    <font>
      <sz val="8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color indexed="8"/>
      <name val="Times New Roman"/>
      <family val="1"/>
    </font>
    <font>
      <b/>
      <sz val="8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imes New Roman"/>
      <family val="1"/>
    </font>
    <font>
      <b/>
      <sz val="8"/>
      <color indexed="8"/>
      <name val="Times New Roman"/>
      <family val="1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8"/>
      <color indexed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b/>
      <sz val="9"/>
      <color rgb="FFFF0000"/>
      <name val="Arial"/>
      <family val="2"/>
    </font>
    <font>
      <b/>
      <sz val="8"/>
      <color rgb="FFFF0000"/>
      <name val="Times New Roman"/>
      <family val="1"/>
    </font>
    <font>
      <b/>
      <sz val="10"/>
      <color rgb="FFFF0000"/>
      <name val="Helv"/>
    </font>
    <font>
      <sz val="8"/>
      <color rgb="FFFF0000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002060"/>
      <name val="Arial"/>
      <family val="2"/>
    </font>
    <font>
      <sz val="10"/>
      <color theme="1"/>
      <name val="Arial"/>
      <family val="2"/>
    </font>
    <font>
      <b/>
      <sz val="9"/>
      <color rgb="FF00206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440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FFFFFF"/>
      </top>
      <bottom style="medium">
        <color rgb="FFFFFFFF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</cellStyleXfs>
  <cellXfs count="842">
    <xf numFmtId="0" fontId="0" fillId="0" borderId="0" xfId="0"/>
    <xf numFmtId="41" fontId="9" fillId="0" borderId="1" xfId="2" applyNumberFormat="1" applyFont="1" applyBorder="1" applyAlignment="1">
      <alignment horizontal="right"/>
    </xf>
    <xf numFmtId="41" fontId="10" fillId="0" borderId="1" xfId="2" applyNumberFormat="1" applyFont="1" applyBorder="1" applyAlignment="1">
      <alignment horizontal="right"/>
    </xf>
    <xf numFmtId="41" fontId="10" fillId="0" borderId="3" xfId="2" applyNumberFormat="1" applyFont="1" applyBorder="1" applyAlignment="1">
      <alignment horizontal="right"/>
    </xf>
    <xf numFmtId="37" fontId="8" fillId="0" borderId="2" xfId="2" applyNumberFormat="1" applyFont="1" applyBorder="1" applyAlignment="1">
      <alignment horizontal="left"/>
    </xf>
    <xf numFmtId="37" fontId="8" fillId="0" borderId="1" xfId="2" applyNumberFormat="1" applyFont="1" applyBorder="1" applyAlignment="1">
      <alignment horizontal="left"/>
    </xf>
    <xf numFmtId="37" fontId="9" fillId="0" borderId="1" xfId="2" applyNumberFormat="1" applyFont="1" applyBorder="1" applyAlignment="1">
      <alignment horizontal="left"/>
    </xf>
    <xf numFmtId="37" fontId="9" fillId="0" borderId="1" xfId="2" quotePrefix="1" applyNumberFormat="1" applyFont="1" applyBorder="1" applyAlignment="1">
      <alignment horizontal="left"/>
    </xf>
    <xf numFmtId="41" fontId="8" fillId="0" borderId="2" xfId="2" applyNumberFormat="1" applyFont="1" applyBorder="1" applyAlignment="1">
      <alignment horizontal="right"/>
    </xf>
    <xf numFmtId="37" fontId="9" fillId="0" borderId="3" xfId="2" applyNumberFormat="1" applyFont="1" applyBorder="1" applyAlignment="1">
      <alignment horizontal="left"/>
    </xf>
    <xf numFmtId="41" fontId="9" fillId="0" borderId="3" xfId="2" applyNumberFormat="1" applyFont="1" applyBorder="1" applyAlignment="1">
      <alignment horizontal="right"/>
    </xf>
    <xf numFmtId="37" fontId="9" fillId="0" borderId="2" xfId="2" applyNumberFormat="1" applyFont="1" applyBorder="1" applyAlignment="1">
      <alignment horizontal="left"/>
    </xf>
    <xf numFmtId="41" fontId="9" fillId="0" borderId="2" xfId="2" applyNumberFormat="1" applyFont="1" applyBorder="1" applyAlignment="1">
      <alignment horizontal="right"/>
    </xf>
    <xf numFmtId="41" fontId="24" fillId="0" borderId="2" xfId="2" applyNumberFormat="1" applyFont="1" applyBorder="1" applyAlignment="1">
      <alignment horizontal="right"/>
    </xf>
    <xf numFmtId="37" fontId="8" fillId="3" borderId="8" xfId="2" applyNumberFormat="1" applyFont="1" applyFill="1" applyBorder="1" applyAlignment="1">
      <alignment horizontal="left"/>
    </xf>
    <xf numFmtId="41" fontId="8" fillId="3" borderId="8" xfId="2" applyNumberFormat="1" applyFont="1" applyFill="1" applyBorder="1" applyAlignment="1">
      <alignment horizontal="right"/>
    </xf>
    <xf numFmtId="37" fontId="8" fillId="0" borderId="3" xfId="2" applyNumberFormat="1" applyFont="1" applyBorder="1" applyAlignment="1">
      <alignment horizontal="left"/>
    </xf>
    <xf numFmtId="37" fontId="8" fillId="3" borderId="5" xfId="2" quotePrefix="1" applyNumberFormat="1" applyFont="1" applyFill="1" applyBorder="1" applyAlignment="1">
      <alignment horizontal="left"/>
    </xf>
    <xf numFmtId="41" fontId="8" fillId="3" borderId="5" xfId="2" applyNumberFormat="1" applyFont="1" applyFill="1" applyBorder="1" applyAlignment="1" applyProtection="1">
      <alignment horizontal="right"/>
      <protection locked="0"/>
    </xf>
    <xf numFmtId="37" fontId="8" fillId="4" borderId="8" xfId="2" quotePrefix="1" applyNumberFormat="1" applyFont="1" applyFill="1" applyBorder="1" applyAlignment="1">
      <alignment horizontal="left"/>
    </xf>
    <xf numFmtId="41" fontId="10" fillId="4" borderId="8" xfId="2" applyNumberFormat="1" applyFont="1" applyFill="1" applyBorder="1" applyAlignment="1">
      <alignment horizontal="right"/>
    </xf>
    <xf numFmtId="41" fontId="24" fillId="3" borderId="5" xfId="2" applyNumberFormat="1" applyFont="1" applyFill="1" applyBorder="1" applyAlignment="1" applyProtection="1">
      <alignment horizontal="right"/>
      <protection locked="0"/>
    </xf>
    <xf numFmtId="0" fontId="8" fillId="4" borderId="8" xfId="2" applyFont="1" applyFill="1" applyBorder="1" applyAlignment="1">
      <alignment horizontal="center"/>
    </xf>
    <xf numFmtId="41" fontId="24" fillId="4" borderId="8" xfId="2" applyNumberFormat="1" applyFont="1" applyFill="1" applyBorder="1" applyAlignment="1">
      <alignment horizontal="right"/>
    </xf>
    <xf numFmtId="41" fontId="24" fillId="0" borderId="1" xfId="2" applyNumberFormat="1" applyFont="1" applyBorder="1" applyAlignment="1">
      <alignment horizontal="right"/>
    </xf>
    <xf numFmtId="41" fontId="24" fillId="3" borderId="8" xfId="2" applyNumberFormat="1" applyFont="1" applyFill="1" applyBorder="1" applyAlignment="1">
      <alignment horizontal="right"/>
    </xf>
    <xf numFmtId="37" fontId="8" fillId="2" borderId="7" xfId="2" applyNumberFormat="1" applyFont="1" applyFill="1" applyBorder="1" applyAlignment="1">
      <alignment horizontal="center"/>
    </xf>
    <xf numFmtId="37" fontId="5" fillId="2" borderId="20" xfId="2" applyNumberFormat="1" applyFont="1" applyFill="1" applyBorder="1" applyAlignment="1">
      <alignment horizontal="center"/>
    </xf>
    <xf numFmtId="37" fontId="5" fillId="2" borderId="15" xfId="2" applyNumberFormat="1" applyFont="1" applyFill="1" applyBorder="1" applyAlignment="1">
      <alignment horizontal="center"/>
    </xf>
    <xf numFmtId="37" fontId="5" fillId="2" borderId="17" xfId="2" applyNumberFormat="1" applyFont="1" applyFill="1" applyBorder="1" applyAlignment="1">
      <alignment horizontal="center"/>
    </xf>
    <xf numFmtId="41" fontId="8" fillId="2" borderId="1" xfId="2" applyNumberFormat="1" applyFont="1" applyFill="1" applyBorder="1" applyAlignment="1">
      <alignment horizontal="left"/>
    </xf>
    <xf numFmtId="41" fontId="5" fillId="2" borderId="21" xfId="2" applyNumberFormat="1" applyFont="1" applyFill="1" applyBorder="1" applyAlignment="1">
      <alignment horizontal="left"/>
    </xf>
    <xf numFmtId="41" fontId="5" fillId="2" borderId="9" xfId="2" applyNumberFormat="1" applyFont="1" applyFill="1" applyBorder="1" applyAlignment="1">
      <alignment horizontal="left"/>
    </xf>
    <xf numFmtId="41" fontId="5" fillId="2" borderId="18" xfId="2" applyNumberFormat="1" applyFont="1" applyFill="1" applyBorder="1" applyAlignment="1">
      <alignment horizontal="left"/>
    </xf>
    <xf numFmtId="41" fontId="9" fillId="2" borderId="1" xfId="2" applyNumberFormat="1" applyFont="1" applyFill="1" applyBorder="1" applyAlignment="1">
      <alignment horizontal="right"/>
    </xf>
    <xf numFmtId="41" fontId="9" fillId="2" borderId="21" xfId="2" applyNumberFormat="1" applyFont="1" applyFill="1" applyBorder="1" applyAlignment="1">
      <alignment horizontal="right"/>
    </xf>
    <xf numFmtId="41" fontId="9" fillId="2" borderId="9" xfId="2" applyNumberFormat="1" applyFont="1" applyFill="1" applyBorder="1" applyAlignment="1">
      <alignment horizontal="right"/>
    </xf>
    <xf numFmtId="41" fontId="9" fillId="2" borderId="18" xfId="2" applyNumberFormat="1" applyFont="1" applyFill="1" applyBorder="1" applyAlignment="1">
      <alignment horizontal="right"/>
    </xf>
    <xf numFmtId="41" fontId="10" fillId="2" borderId="1" xfId="2" applyNumberFormat="1" applyFont="1" applyFill="1" applyBorder="1" applyAlignment="1">
      <alignment horizontal="right"/>
    </xf>
    <xf numFmtId="41" fontId="10" fillId="2" borderId="21" xfId="2" applyNumberFormat="1" applyFont="1" applyFill="1" applyBorder="1" applyAlignment="1">
      <alignment horizontal="right"/>
    </xf>
    <xf numFmtId="41" fontId="10" fillId="2" borderId="9" xfId="2" applyNumberFormat="1" applyFont="1" applyFill="1" applyBorder="1" applyAlignment="1">
      <alignment horizontal="right"/>
    </xf>
    <xf numFmtId="41" fontId="10" fillId="2" borderId="18" xfId="2" applyNumberFormat="1" applyFont="1" applyFill="1" applyBorder="1" applyAlignment="1">
      <alignment horizontal="right"/>
    </xf>
    <xf numFmtId="41" fontId="8" fillId="2" borderId="1" xfId="2" applyNumberFormat="1" applyFont="1" applyFill="1" applyBorder="1" applyAlignment="1">
      <alignment horizontal="right"/>
    </xf>
    <xf numFmtId="41" fontId="8" fillId="2" borderId="21" xfId="2" applyNumberFormat="1" applyFont="1" applyFill="1" applyBorder="1" applyAlignment="1">
      <alignment horizontal="right"/>
    </xf>
    <xf numFmtId="41" fontId="8" fillId="2" borderId="9" xfId="2" applyNumberFormat="1" applyFont="1" applyFill="1" applyBorder="1" applyAlignment="1">
      <alignment horizontal="right"/>
    </xf>
    <xf numFmtId="41" fontId="8" fillId="2" borderId="18" xfId="2" applyNumberFormat="1" applyFont="1" applyFill="1" applyBorder="1" applyAlignment="1">
      <alignment horizontal="right"/>
    </xf>
    <xf numFmtId="37" fontId="8" fillId="3" borderId="6" xfId="2" quotePrefix="1" applyNumberFormat="1" applyFont="1" applyFill="1" applyBorder="1" applyAlignment="1">
      <alignment horizontal="left"/>
    </xf>
    <xf numFmtId="41" fontId="8" fillId="3" borderId="6" xfId="2" applyNumberFormat="1" applyFont="1" applyFill="1" applyBorder="1" applyAlignment="1" applyProtection="1">
      <alignment horizontal="right"/>
      <protection locked="0"/>
    </xf>
    <xf numFmtId="41" fontId="8" fillId="3" borderId="30" xfId="2" applyNumberFormat="1" applyFont="1" applyFill="1" applyBorder="1" applyAlignment="1" applyProtection="1">
      <alignment horizontal="right"/>
      <protection locked="0"/>
    </xf>
    <xf numFmtId="41" fontId="8" fillId="3" borderId="31" xfId="2" applyNumberFormat="1" applyFont="1" applyFill="1" applyBorder="1" applyAlignment="1" applyProtection="1">
      <alignment horizontal="right"/>
      <protection locked="0"/>
    </xf>
    <xf numFmtId="41" fontId="8" fillId="3" borderId="32" xfId="2" applyNumberFormat="1" applyFont="1" applyFill="1" applyBorder="1" applyAlignment="1" applyProtection="1">
      <alignment horizontal="right"/>
      <protection locked="0"/>
    </xf>
    <xf numFmtId="37" fontId="8" fillId="4" borderId="7" xfId="2" quotePrefix="1" applyNumberFormat="1" applyFont="1" applyFill="1" applyBorder="1" applyAlignment="1">
      <alignment horizontal="left"/>
    </xf>
    <xf numFmtId="41" fontId="10" fillId="4" borderId="1" xfId="2" applyNumberFormat="1" applyFont="1" applyFill="1" applyBorder="1" applyAlignment="1">
      <alignment horizontal="right"/>
    </xf>
    <xf numFmtId="41" fontId="10" fillId="4" borderId="21" xfId="2" applyNumberFormat="1" applyFont="1" applyFill="1" applyBorder="1" applyAlignment="1">
      <alignment horizontal="right"/>
    </xf>
    <xf numFmtId="41" fontId="10" fillId="4" borderId="9" xfId="2" applyNumberFormat="1" applyFont="1" applyFill="1" applyBorder="1" applyAlignment="1">
      <alignment horizontal="right"/>
    </xf>
    <xf numFmtId="41" fontId="10" fillId="4" borderId="18" xfId="2" applyNumberFormat="1" applyFont="1" applyFill="1" applyBorder="1" applyAlignment="1">
      <alignment horizontal="right"/>
    </xf>
    <xf numFmtId="41" fontId="9" fillId="2" borderId="3" xfId="2" applyNumberFormat="1" applyFont="1" applyFill="1" applyBorder="1" applyAlignment="1">
      <alignment horizontal="right"/>
    </xf>
    <xf numFmtId="41" fontId="9" fillId="2" borderId="22" xfId="2" applyNumberFormat="1" applyFont="1" applyFill="1" applyBorder="1" applyAlignment="1">
      <alignment horizontal="right"/>
    </xf>
    <xf numFmtId="41" fontId="9" fillId="2" borderId="16" xfId="2" applyNumberFormat="1" applyFont="1" applyFill="1" applyBorder="1" applyAlignment="1">
      <alignment horizontal="right"/>
    </xf>
    <xf numFmtId="41" fontId="9" fillId="2" borderId="19" xfId="2" applyNumberFormat="1" applyFont="1" applyFill="1" applyBorder="1" applyAlignment="1">
      <alignment horizontal="right"/>
    </xf>
    <xf numFmtId="41" fontId="9" fillId="2" borderId="2" xfId="2" applyNumberFormat="1" applyFont="1" applyFill="1" applyBorder="1" applyAlignment="1">
      <alignment horizontal="right"/>
    </xf>
    <xf numFmtId="41" fontId="9" fillId="2" borderId="23" xfId="2" applyNumberFormat="1" applyFont="1" applyFill="1" applyBorder="1" applyAlignment="1">
      <alignment horizontal="right"/>
    </xf>
    <xf numFmtId="41" fontId="9" fillId="2" borderId="24" xfId="2" applyNumberFormat="1" applyFont="1" applyFill="1" applyBorder="1" applyAlignment="1">
      <alignment horizontal="right"/>
    </xf>
    <xf numFmtId="41" fontId="9" fillId="2" borderId="33" xfId="2" applyNumberFormat="1" applyFont="1" applyFill="1" applyBorder="1" applyAlignment="1">
      <alignment horizontal="right"/>
    </xf>
    <xf numFmtId="41" fontId="8" fillId="3" borderId="26" xfId="2" applyNumberFormat="1" applyFont="1" applyFill="1" applyBorder="1" applyAlignment="1">
      <alignment horizontal="right"/>
    </xf>
    <xf numFmtId="41" fontId="8" fillId="3" borderId="27" xfId="2" applyNumberFormat="1" applyFont="1" applyFill="1" applyBorder="1" applyAlignment="1">
      <alignment horizontal="right"/>
    </xf>
    <xf numFmtId="41" fontId="8" fillId="3" borderId="28" xfId="2" applyNumberFormat="1" applyFont="1" applyFill="1" applyBorder="1" applyAlignment="1">
      <alignment horizontal="right"/>
    </xf>
    <xf numFmtId="0" fontId="8" fillId="4" borderId="25" xfId="2" applyFont="1" applyFill="1" applyBorder="1" applyAlignment="1">
      <alignment horizontal="center"/>
    </xf>
    <xf numFmtId="0" fontId="8" fillId="4" borderId="10" xfId="2" applyFont="1" applyFill="1" applyBorder="1" applyAlignment="1">
      <alignment horizontal="center"/>
    </xf>
    <xf numFmtId="37" fontId="4" fillId="0" borderId="1" xfId="2" applyNumberFormat="1" applyFont="1" applyBorder="1" applyAlignment="1">
      <alignment horizontal="left"/>
    </xf>
    <xf numFmtId="37" fontId="3" fillId="0" borderId="1" xfId="2" applyNumberFormat="1" applyFont="1" applyBorder="1" applyAlignment="1">
      <alignment horizontal="left"/>
    </xf>
    <xf numFmtId="37" fontId="5" fillId="0" borderId="1" xfId="2" applyNumberFormat="1" applyFont="1" applyBorder="1" applyAlignment="1">
      <alignment horizontal="left"/>
    </xf>
    <xf numFmtId="37" fontId="4" fillId="0" borderId="1" xfId="2" quotePrefix="1" applyNumberFormat="1" applyFont="1" applyBorder="1" applyAlignment="1">
      <alignment horizontal="left"/>
    </xf>
    <xf numFmtId="41" fontId="11" fillId="3" borderId="5" xfId="2" applyNumberFormat="1" applyFont="1" applyFill="1" applyBorder="1" applyAlignment="1" applyProtection="1">
      <alignment horizontal="right"/>
      <protection locked="0"/>
    </xf>
    <xf numFmtId="41" fontId="11" fillId="3" borderId="8" xfId="2" applyNumberFormat="1" applyFont="1" applyFill="1" applyBorder="1" applyAlignment="1">
      <alignment horizontal="right"/>
    </xf>
    <xf numFmtId="41" fontId="16" fillId="2" borderId="1" xfId="2" applyNumberFormat="1" applyFont="1" applyFill="1" applyBorder="1" applyAlignment="1">
      <alignment horizontal="right"/>
    </xf>
    <xf numFmtId="41" fontId="15" fillId="2" borderId="1" xfId="2" applyNumberFormat="1" applyFont="1" applyFill="1" applyBorder="1" applyAlignment="1">
      <alignment horizontal="right"/>
    </xf>
    <xf numFmtId="41" fontId="11" fillId="2" borderId="1" xfId="2" applyNumberFormat="1" applyFont="1" applyFill="1" applyBorder="1" applyAlignment="1">
      <alignment horizontal="right"/>
    </xf>
    <xf numFmtId="41" fontId="16" fillId="2" borderId="0" xfId="2" applyNumberFormat="1" applyFont="1" applyFill="1" applyAlignment="1">
      <alignment horizontal="right"/>
    </xf>
    <xf numFmtId="41" fontId="19" fillId="2" borderId="1" xfId="2" applyNumberFormat="1" applyFont="1" applyFill="1" applyBorder="1" applyAlignment="1">
      <alignment horizontal="right"/>
    </xf>
    <xf numFmtId="37" fontId="4" fillId="0" borderId="3" xfId="2" applyNumberFormat="1" applyFont="1" applyBorder="1" applyAlignment="1">
      <alignment horizontal="left"/>
    </xf>
    <xf numFmtId="41" fontId="16" fillId="2" borderId="3" xfId="2" applyNumberFormat="1" applyFont="1" applyFill="1" applyBorder="1" applyAlignment="1">
      <alignment horizontal="right"/>
    </xf>
    <xf numFmtId="37" fontId="4" fillId="0" borderId="2" xfId="2" applyNumberFormat="1" applyFont="1" applyBorder="1" applyAlignment="1">
      <alignment horizontal="left"/>
    </xf>
    <xf numFmtId="41" fontId="16" fillId="2" borderId="2" xfId="2" applyNumberFormat="1" applyFont="1" applyFill="1" applyBorder="1" applyAlignment="1">
      <alignment horizontal="right"/>
    </xf>
    <xf numFmtId="37" fontId="5" fillId="0" borderId="3" xfId="2" applyNumberFormat="1" applyFont="1" applyBorder="1" applyAlignment="1">
      <alignment horizontal="left"/>
    </xf>
    <xf numFmtId="41" fontId="15" fillId="2" borderId="3" xfId="2" applyNumberFormat="1" applyFont="1" applyFill="1" applyBorder="1" applyAlignment="1">
      <alignment horizontal="right"/>
    </xf>
    <xf numFmtId="37" fontId="5" fillId="3" borderId="5" xfId="2" quotePrefix="1" applyNumberFormat="1" applyFont="1" applyFill="1" applyBorder="1" applyAlignment="1">
      <alignment horizontal="left"/>
    </xf>
    <xf numFmtId="37" fontId="5" fillId="4" borderId="8" xfId="2" quotePrefix="1" applyNumberFormat="1" applyFont="1" applyFill="1" applyBorder="1" applyAlignment="1">
      <alignment horizontal="left"/>
    </xf>
    <xf numFmtId="41" fontId="11" fillId="4" borderId="8" xfId="2" applyNumberFormat="1" applyFont="1" applyFill="1" applyBorder="1" applyAlignment="1">
      <alignment horizontal="right"/>
    </xf>
    <xf numFmtId="37" fontId="5" fillId="3" borderId="8" xfId="2" applyNumberFormat="1" applyFont="1" applyFill="1" applyBorder="1" applyAlignment="1">
      <alignment horizontal="left"/>
    </xf>
    <xf numFmtId="37" fontId="11" fillId="0" borderId="9" xfId="2" applyNumberFormat="1" applyFont="1" applyBorder="1" applyAlignment="1">
      <alignment horizontal="left"/>
    </xf>
    <xf numFmtId="37" fontId="16" fillId="0" borderId="9" xfId="2" applyNumberFormat="1" applyFont="1" applyBorder="1" applyAlignment="1">
      <alignment horizontal="left"/>
    </xf>
    <xf numFmtId="37" fontId="16" fillId="0" borderId="9" xfId="2" quotePrefix="1" applyNumberFormat="1" applyFont="1" applyBorder="1" applyAlignment="1">
      <alignment horizontal="left"/>
    </xf>
    <xf numFmtId="37" fontId="11" fillId="2" borderId="9" xfId="2" applyNumberFormat="1" applyFont="1" applyFill="1" applyBorder="1" applyAlignment="1">
      <alignment horizontal="center"/>
    </xf>
    <xf numFmtId="0" fontId="16" fillId="2" borderId="9" xfId="2" applyFont="1" applyFill="1" applyBorder="1"/>
    <xf numFmtId="164" fontId="11" fillId="2" borderId="9" xfId="9" applyNumberFormat="1" applyFont="1" applyFill="1" applyBorder="1"/>
    <xf numFmtId="41" fontId="16" fillId="2" borderId="9" xfId="2" applyNumberFormat="1" applyFont="1" applyFill="1" applyBorder="1" applyAlignment="1">
      <alignment horizontal="right"/>
    </xf>
    <xf numFmtId="41" fontId="11" fillId="2" borderId="9" xfId="2" applyNumberFormat="1" applyFont="1" applyFill="1" applyBorder="1" applyAlignment="1">
      <alignment horizontal="left"/>
    </xf>
    <xf numFmtId="41" fontId="15" fillId="2" borderId="9" xfId="2" applyNumberFormat="1" applyFont="1" applyFill="1" applyBorder="1" applyAlignment="1">
      <alignment horizontal="right"/>
    </xf>
    <xf numFmtId="41" fontId="11" fillId="2" borderId="9" xfId="2" applyNumberFormat="1" applyFont="1" applyFill="1" applyBorder="1" applyAlignment="1">
      <alignment horizontal="right"/>
    </xf>
    <xf numFmtId="41" fontId="14" fillId="2" borderId="9" xfId="2" applyNumberFormat="1" applyFont="1" applyFill="1" applyBorder="1" applyAlignment="1">
      <alignment horizontal="right"/>
    </xf>
    <xf numFmtId="164" fontId="11" fillId="2" borderId="9" xfId="10" applyNumberFormat="1" applyFont="1" applyFill="1" applyBorder="1"/>
    <xf numFmtId="164" fontId="16" fillId="2" borderId="9" xfId="10" applyNumberFormat="1" applyFont="1" applyFill="1" applyBorder="1"/>
    <xf numFmtId="37" fontId="3" fillId="0" borderId="2" xfId="2" applyNumberFormat="1" applyFont="1" applyBorder="1" applyAlignment="1">
      <alignment horizontal="left"/>
    </xf>
    <xf numFmtId="0" fontId="11" fillId="4" borderId="8" xfId="2" applyFont="1" applyFill="1" applyBorder="1" applyAlignment="1">
      <alignment horizontal="center"/>
    </xf>
    <xf numFmtId="37" fontId="11" fillId="2" borderId="2" xfId="2" applyNumberFormat="1" applyFont="1" applyFill="1" applyBorder="1" applyAlignment="1">
      <alignment horizontal="center"/>
    </xf>
    <xf numFmtId="37" fontId="8" fillId="2" borderId="2" xfId="2" applyNumberFormat="1" applyFont="1" applyFill="1" applyBorder="1" applyAlignment="1">
      <alignment horizontal="center"/>
    </xf>
    <xf numFmtId="37" fontId="11" fillId="2" borderId="39" xfId="2" applyNumberFormat="1" applyFont="1" applyFill="1" applyBorder="1" applyAlignment="1">
      <alignment horizontal="center"/>
    </xf>
    <xf numFmtId="37" fontId="8" fillId="2" borderId="39" xfId="2" applyNumberFormat="1" applyFont="1" applyFill="1" applyBorder="1" applyAlignment="1">
      <alignment horizontal="center"/>
    </xf>
    <xf numFmtId="37" fontId="8" fillId="2" borderId="12" xfId="2" applyNumberFormat="1" applyFont="1" applyFill="1" applyBorder="1" applyAlignment="1">
      <alignment horizontal="center"/>
    </xf>
    <xf numFmtId="41" fontId="11" fillId="2" borderId="1" xfId="2" applyNumberFormat="1" applyFont="1" applyFill="1" applyBorder="1" applyAlignment="1">
      <alignment horizontal="left"/>
    </xf>
    <xf numFmtId="41" fontId="11" fillId="2" borderId="37" xfId="2" applyNumberFormat="1" applyFont="1" applyFill="1" applyBorder="1" applyAlignment="1">
      <alignment horizontal="left"/>
    </xf>
    <xf numFmtId="41" fontId="8" fillId="2" borderId="37" xfId="2" applyNumberFormat="1" applyFont="1" applyFill="1" applyBorder="1" applyAlignment="1">
      <alignment horizontal="left"/>
    </xf>
    <xf numFmtId="41" fontId="8" fillId="2" borderId="13" xfId="2" applyNumberFormat="1" applyFont="1" applyFill="1" applyBorder="1" applyAlignment="1">
      <alignment horizontal="left"/>
    </xf>
    <xf numFmtId="41" fontId="17" fillId="2" borderId="1" xfId="2" applyNumberFormat="1" applyFont="1" applyFill="1" applyBorder="1" applyAlignment="1">
      <alignment horizontal="right"/>
    </xf>
    <xf numFmtId="164" fontId="17" fillId="2" borderId="40" xfId="11" applyNumberFormat="1" applyFont="1" applyFill="1" applyBorder="1"/>
    <xf numFmtId="41" fontId="9" fillId="2" borderId="1" xfId="2" applyNumberFormat="1" applyFont="1" applyFill="1" applyBorder="1" applyAlignment="1">
      <alignment horizontal="left"/>
    </xf>
    <xf numFmtId="41" fontId="18" fillId="2" borderId="1" xfId="2" applyNumberFormat="1" applyFont="1" applyFill="1" applyBorder="1" applyAlignment="1">
      <alignment horizontal="right"/>
    </xf>
    <xf numFmtId="41" fontId="22" fillId="2" borderId="1" xfId="2" applyNumberFormat="1" applyFont="1" applyFill="1" applyBorder="1" applyAlignment="1">
      <alignment horizontal="right"/>
    </xf>
    <xf numFmtId="164" fontId="18" fillId="2" borderId="40" xfId="11" applyNumberFormat="1" applyFont="1" applyFill="1" applyBorder="1"/>
    <xf numFmtId="41" fontId="22" fillId="2" borderId="40" xfId="2" applyNumberFormat="1" applyFont="1" applyFill="1" applyBorder="1" applyAlignment="1">
      <alignment horizontal="right"/>
    </xf>
    <xf numFmtId="41" fontId="17" fillId="2" borderId="40" xfId="2" applyNumberFormat="1" applyFont="1" applyFill="1" applyBorder="1" applyAlignment="1">
      <alignment horizontal="right"/>
    </xf>
    <xf numFmtId="0" fontId="17" fillId="2" borderId="0" xfId="2" applyFont="1" applyFill="1"/>
    <xf numFmtId="41" fontId="23" fillId="2" borderId="1" xfId="2" applyNumberFormat="1" applyFont="1" applyFill="1" applyBorder="1" applyAlignment="1">
      <alignment horizontal="right"/>
    </xf>
    <xf numFmtId="41" fontId="17" fillId="2" borderId="3" xfId="2" applyNumberFormat="1" applyFont="1" applyFill="1" applyBorder="1" applyAlignment="1">
      <alignment horizontal="right"/>
    </xf>
    <xf numFmtId="164" fontId="17" fillId="2" borderId="41" xfId="11" applyNumberFormat="1" applyFont="1" applyFill="1" applyBorder="1"/>
    <xf numFmtId="41" fontId="17" fillId="2" borderId="41" xfId="2" applyNumberFormat="1" applyFont="1" applyFill="1" applyBorder="1" applyAlignment="1">
      <alignment horizontal="right"/>
    </xf>
    <xf numFmtId="41" fontId="17" fillId="2" borderId="2" xfId="2" applyNumberFormat="1" applyFont="1" applyFill="1" applyBorder="1" applyAlignment="1">
      <alignment horizontal="right"/>
    </xf>
    <xf numFmtId="164" fontId="17" fillId="2" borderId="42" xfId="11" applyNumberFormat="1" applyFont="1" applyFill="1" applyBorder="1"/>
    <xf numFmtId="41" fontId="17" fillId="2" borderId="42" xfId="2" applyNumberFormat="1" applyFont="1" applyFill="1" applyBorder="1" applyAlignment="1">
      <alignment horizontal="right"/>
    </xf>
    <xf numFmtId="41" fontId="18" fillId="3" borderId="8" xfId="2" applyNumberFormat="1" applyFont="1" applyFill="1" applyBorder="1" applyAlignment="1">
      <alignment horizontal="right"/>
    </xf>
    <xf numFmtId="164" fontId="18" fillId="3" borderId="29" xfId="11" applyNumberFormat="1" applyFont="1" applyFill="1" applyBorder="1"/>
    <xf numFmtId="41" fontId="18" fillId="3" borderId="29" xfId="2" applyNumberFormat="1" applyFont="1" applyFill="1" applyBorder="1" applyAlignment="1">
      <alignment horizontal="right"/>
    </xf>
    <xf numFmtId="164" fontId="18" fillId="3" borderId="10" xfId="11" applyNumberFormat="1" applyFont="1" applyFill="1" applyBorder="1"/>
    <xf numFmtId="41" fontId="22" fillId="2" borderId="3" xfId="2" applyNumberFormat="1" applyFont="1" applyFill="1" applyBorder="1" applyAlignment="1">
      <alignment horizontal="right"/>
    </xf>
    <xf numFmtId="164" fontId="18" fillId="2" borderId="41" xfId="11" applyNumberFormat="1" applyFont="1" applyFill="1" applyBorder="1"/>
    <xf numFmtId="41" fontId="22" fillId="2" borderId="41" xfId="2" applyNumberFormat="1" applyFont="1" applyFill="1" applyBorder="1" applyAlignment="1">
      <alignment horizontal="right"/>
    </xf>
    <xf numFmtId="37" fontId="5" fillId="3" borderId="8" xfId="2" quotePrefix="1" applyNumberFormat="1" applyFont="1" applyFill="1" applyBorder="1" applyAlignment="1">
      <alignment horizontal="left"/>
    </xf>
    <xf numFmtId="41" fontId="22" fillId="3" borderId="8" xfId="2" applyNumberFormat="1" applyFont="1" applyFill="1" applyBorder="1" applyAlignment="1">
      <alignment horizontal="right"/>
    </xf>
    <xf numFmtId="41" fontId="22" fillId="3" borderId="29" xfId="2" applyNumberFormat="1" applyFont="1" applyFill="1" applyBorder="1" applyAlignment="1">
      <alignment horizontal="right"/>
    </xf>
    <xf numFmtId="41" fontId="18" fillId="4" borderId="8" xfId="2" applyNumberFormat="1" applyFont="1" applyFill="1" applyBorder="1" applyAlignment="1" applyProtection="1">
      <alignment horizontal="right"/>
      <protection locked="0"/>
    </xf>
    <xf numFmtId="164" fontId="18" fillId="4" borderId="29" xfId="11" applyNumberFormat="1" applyFont="1" applyFill="1" applyBorder="1"/>
    <xf numFmtId="41" fontId="18" fillId="4" borderId="29" xfId="2" applyNumberFormat="1" applyFont="1" applyFill="1" applyBorder="1" applyAlignment="1" applyProtection="1">
      <alignment horizontal="right"/>
      <protection locked="0"/>
    </xf>
    <xf numFmtId="164" fontId="18" fillId="4" borderId="43" xfId="11" applyNumberFormat="1" applyFont="1" applyFill="1" applyBorder="1"/>
    <xf numFmtId="164" fontId="18" fillId="4" borderId="10" xfId="11" applyNumberFormat="1" applyFont="1" applyFill="1" applyBorder="1"/>
    <xf numFmtId="164" fontId="17" fillId="2" borderId="37" xfId="11" applyNumberFormat="1" applyFont="1" applyFill="1" applyBorder="1"/>
    <xf numFmtId="164" fontId="18" fillId="2" borderId="37" xfId="11" applyNumberFormat="1" applyFont="1" applyFill="1" applyBorder="1"/>
    <xf numFmtId="164" fontId="17" fillId="2" borderId="44" xfId="11" applyNumberFormat="1" applyFont="1" applyFill="1" applyBorder="1"/>
    <xf numFmtId="164" fontId="17" fillId="2" borderId="38" xfId="11" applyNumberFormat="1" applyFont="1" applyFill="1" applyBorder="1"/>
    <xf numFmtId="164" fontId="17" fillId="2" borderId="39" xfId="11" applyNumberFormat="1" applyFont="1" applyFill="1" applyBorder="1"/>
    <xf numFmtId="164" fontId="18" fillId="2" borderId="38" xfId="11" applyNumberFormat="1" applyFont="1" applyFill="1" applyBorder="1"/>
    <xf numFmtId="37" fontId="8" fillId="2" borderId="36" xfId="2" applyNumberFormat="1" applyFont="1" applyFill="1" applyBorder="1" applyAlignment="1">
      <alignment horizontal="center"/>
    </xf>
    <xf numFmtId="164" fontId="17" fillId="2" borderId="1" xfId="11" applyNumberFormat="1" applyFont="1" applyFill="1" applyBorder="1"/>
    <xf numFmtId="164" fontId="18" fillId="2" borderId="1" xfId="11" applyNumberFormat="1" applyFont="1" applyFill="1" applyBorder="1"/>
    <xf numFmtId="164" fontId="17" fillId="2" borderId="3" xfId="11" applyNumberFormat="1" applyFont="1" applyFill="1" applyBorder="1"/>
    <xf numFmtId="164" fontId="18" fillId="3" borderId="8" xfId="11" applyNumberFormat="1" applyFont="1" applyFill="1" applyBorder="1"/>
    <xf numFmtId="164" fontId="17" fillId="2" borderId="2" xfId="11" applyNumberFormat="1" applyFont="1" applyFill="1" applyBorder="1"/>
    <xf numFmtId="164" fontId="18" fillId="2" borderId="3" xfId="11" applyNumberFormat="1" applyFont="1" applyFill="1" applyBorder="1"/>
    <xf numFmtId="164" fontId="18" fillId="4" borderId="8" xfId="11" applyNumberFormat="1" applyFont="1" applyFill="1" applyBorder="1"/>
    <xf numFmtId="0" fontId="6" fillId="2" borderId="1" xfId="2" applyFont="1" applyFill="1" applyBorder="1"/>
    <xf numFmtId="0" fontId="2" fillId="2" borderId="42" xfId="2" applyFill="1" applyBorder="1"/>
    <xf numFmtId="0" fontId="2" fillId="2" borderId="40" xfId="2" applyFill="1" applyBorder="1"/>
    <xf numFmtId="0" fontId="2" fillId="2" borderId="7" xfId="2" applyFill="1" applyBorder="1"/>
    <xf numFmtId="0" fontId="2" fillId="2" borderId="1" xfId="2" applyFill="1" applyBorder="1"/>
    <xf numFmtId="37" fontId="11" fillId="2" borderId="7" xfId="2" applyNumberFormat="1" applyFont="1" applyFill="1" applyBorder="1" applyAlignment="1">
      <alignment horizontal="center"/>
    </xf>
    <xf numFmtId="37" fontId="8" fillId="2" borderId="34" xfId="2" applyNumberFormat="1" applyFont="1" applyFill="1" applyBorder="1" applyAlignment="1">
      <alignment horizontal="center"/>
    </xf>
    <xf numFmtId="164" fontId="17" fillId="2" borderId="13" xfId="11" applyNumberFormat="1" applyFont="1" applyFill="1" applyBorder="1"/>
    <xf numFmtId="164" fontId="18" fillId="2" borderId="13" xfId="11" applyNumberFormat="1" applyFont="1" applyFill="1" applyBorder="1"/>
    <xf numFmtId="164" fontId="17" fillId="2" borderId="14" xfId="11" applyNumberFormat="1" applyFont="1" applyFill="1" applyBorder="1"/>
    <xf numFmtId="164" fontId="18" fillId="3" borderId="11" xfId="11" applyNumberFormat="1" applyFont="1" applyFill="1" applyBorder="1"/>
    <xf numFmtId="164" fontId="17" fillId="2" borderId="12" xfId="11" applyNumberFormat="1" applyFont="1" applyFill="1" applyBorder="1"/>
    <xf numFmtId="164" fontId="18" fillId="2" borderId="14" xfId="11" applyNumberFormat="1" applyFont="1" applyFill="1" applyBorder="1"/>
    <xf numFmtId="164" fontId="18" fillId="4" borderId="45" xfId="11" applyNumberFormat="1" applyFont="1" applyFill="1" applyBorder="1"/>
    <xf numFmtId="37" fontId="11" fillId="2" borderId="42" xfId="2" applyNumberFormat="1" applyFont="1" applyFill="1" applyBorder="1" applyAlignment="1">
      <alignment horizontal="center"/>
    </xf>
    <xf numFmtId="41" fontId="11" fillId="2" borderId="40" xfId="2" applyNumberFormat="1" applyFont="1" applyFill="1" applyBorder="1" applyAlignment="1">
      <alignment horizontal="left"/>
    </xf>
    <xf numFmtId="41" fontId="17" fillId="2" borderId="37" xfId="2" applyNumberFormat="1" applyFont="1" applyFill="1" applyBorder="1" applyAlignment="1">
      <alignment horizontal="right"/>
    </xf>
    <xf numFmtId="41" fontId="22" fillId="2" borderId="37" xfId="2" applyNumberFormat="1" applyFont="1" applyFill="1" applyBorder="1" applyAlignment="1">
      <alignment horizontal="right"/>
    </xf>
    <xf numFmtId="41" fontId="17" fillId="2" borderId="38" xfId="2" applyNumberFormat="1" applyFont="1" applyFill="1" applyBorder="1" applyAlignment="1">
      <alignment horizontal="right"/>
    </xf>
    <xf numFmtId="41" fontId="18" fillId="3" borderId="10" xfId="2" applyNumberFormat="1" applyFont="1" applyFill="1" applyBorder="1" applyAlignment="1">
      <alignment horizontal="right"/>
    </xf>
    <xf numFmtId="41" fontId="17" fillId="2" borderId="39" xfId="2" applyNumberFormat="1" applyFont="1" applyFill="1" applyBorder="1" applyAlignment="1">
      <alignment horizontal="right"/>
    </xf>
    <xf numFmtId="41" fontId="22" fillId="2" borderId="38" xfId="2" applyNumberFormat="1" applyFont="1" applyFill="1" applyBorder="1" applyAlignment="1">
      <alignment horizontal="right"/>
    </xf>
    <xf numFmtId="41" fontId="22" fillId="3" borderId="10" xfId="2" applyNumberFormat="1" applyFont="1" applyFill="1" applyBorder="1" applyAlignment="1">
      <alignment horizontal="right"/>
    </xf>
    <xf numFmtId="41" fontId="18" fillId="4" borderId="10" xfId="2" applyNumberFormat="1" applyFont="1" applyFill="1" applyBorder="1" applyAlignment="1" applyProtection="1">
      <alignment horizontal="right"/>
      <protection locked="0"/>
    </xf>
    <xf numFmtId="41" fontId="18" fillId="2" borderId="37" xfId="2" applyNumberFormat="1" applyFont="1" applyFill="1" applyBorder="1" applyAlignment="1">
      <alignment horizontal="right"/>
    </xf>
    <xf numFmtId="0" fontId="11" fillId="4" borderId="11" xfId="2" applyFont="1" applyFill="1" applyBorder="1" applyAlignment="1">
      <alignment horizontal="center"/>
    </xf>
    <xf numFmtId="0" fontId="11" fillId="4" borderId="10" xfId="2" applyFont="1" applyFill="1" applyBorder="1" applyAlignment="1">
      <alignment horizontal="center"/>
    </xf>
    <xf numFmtId="164" fontId="17" fillId="2" borderId="46" xfId="11" applyNumberFormat="1" applyFont="1" applyFill="1" applyBorder="1"/>
    <xf numFmtId="164" fontId="18" fillId="2" borderId="46" xfId="11" applyNumberFormat="1" applyFont="1" applyFill="1" applyBorder="1"/>
    <xf numFmtId="164" fontId="17" fillId="2" borderId="47" xfId="11" applyNumberFormat="1" applyFont="1" applyFill="1" applyBorder="1"/>
    <xf numFmtId="164" fontId="18" fillId="3" borderId="45" xfId="11" applyNumberFormat="1" applyFont="1" applyFill="1" applyBorder="1"/>
    <xf numFmtId="164" fontId="17" fillId="2" borderId="48" xfId="11" applyNumberFormat="1" applyFont="1" applyFill="1" applyBorder="1"/>
    <xf numFmtId="164" fontId="18" fillId="2" borderId="47" xfId="11" applyNumberFormat="1" applyFont="1" applyFill="1" applyBorder="1"/>
    <xf numFmtId="0" fontId="6" fillId="2" borderId="2" xfId="2" applyFont="1" applyFill="1" applyBorder="1"/>
    <xf numFmtId="0" fontId="6" fillId="2" borderId="39" xfId="2" applyFont="1" applyFill="1" applyBorder="1"/>
    <xf numFmtId="0" fontId="6" fillId="2" borderId="37" xfId="2" applyFont="1" applyFill="1" applyBorder="1"/>
    <xf numFmtId="164" fontId="25" fillId="3" borderId="8" xfId="11" applyNumberFormat="1" applyFont="1" applyFill="1" applyBorder="1"/>
    <xf numFmtId="164" fontId="25" fillId="3" borderId="29" xfId="11" applyNumberFormat="1" applyFont="1" applyFill="1" applyBorder="1"/>
    <xf numFmtId="164" fontId="25" fillId="4" borderId="8" xfId="11" applyNumberFormat="1" applyFont="1" applyFill="1" applyBorder="1"/>
    <xf numFmtId="164" fontId="25" fillId="4" borderId="29" xfId="11" applyNumberFormat="1" applyFont="1" applyFill="1" applyBorder="1"/>
    <xf numFmtId="0" fontId="27" fillId="2" borderId="7" xfId="2" applyFont="1" applyFill="1" applyBorder="1"/>
    <xf numFmtId="0" fontId="27" fillId="2" borderId="1" xfId="2" applyFont="1" applyFill="1" applyBorder="1"/>
    <xf numFmtId="164" fontId="17" fillId="2" borderId="4" xfId="11" applyNumberFormat="1" applyFont="1" applyFill="1" applyBorder="1"/>
    <xf numFmtId="41" fontId="17" fillId="0" borderId="1" xfId="2" applyNumberFormat="1" applyFont="1" applyBorder="1" applyAlignment="1">
      <alignment horizontal="right"/>
    </xf>
    <xf numFmtId="0" fontId="17" fillId="2" borderId="9" xfId="2" applyFont="1" applyFill="1" applyBorder="1"/>
    <xf numFmtId="0" fontId="18" fillId="4" borderId="8" xfId="2" applyFont="1" applyFill="1" applyBorder="1" applyAlignment="1">
      <alignment horizontal="center"/>
    </xf>
    <xf numFmtId="37" fontId="18" fillId="0" borderId="7" xfId="2" applyNumberFormat="1" applyFont="1" applyBorder="1" applyAlignment="1">
      <alignment horizontal="left"/>
    </xf>
    <xf numFmtId="37" fontId="18" fillId="2" borderId="2" xfId="2" applyNumberFormat="1" applyFont="1" applyFill="1" applyBorder="1" applyAlignment="1">
      <alignment horizontal="center"/>
    </xf>
    <xf numFmtId="37" fontId="18" fillId="0" borderId="1" xfId="2" applyNumberFormat="1" applyFont="1" applyBorder="1" applyAlignment="1">
      <alignment horizontal="left"/>
    </xf>
    <xf numFmtId="41" fontId="18" fillId="2" borderId="1" xfId="2" applyNumberFormat="1" applyFont="1" applyFill="1" applyBorder="1" applyAlignment="1">
      <alignment horizontal="left"/>
    </xf>
    <xf numFmtId="37" fontId="17" fillId="0" borderId="1" xfId="2" applyNumberFormat="1" applyFont="1" applyBorder="1" applyAlignment="1">
      <alignment horizontal="left"/>
    </xf>
    <xf numFmtId="37" fontId="17" fillId="0" borderId="1" xfId="2" quotePrefix="1" applyNumberFormat="1" applyFont="1" applyBorder="1" applyAlignment="1">
      <alignment horizontal="left"/>
    </xf>
    <xf numFmtId="37" fontId="17" fillId="0" borderId="3" xfId="2" applyNumberFormat="1" applyFont="1" applyBorder="1" applyAlignment="1">
      <alignment horizontal="left"/>
    </xf>
    <xf numFmtId="37" fontId="18" fillId="3" borderId="8" xfId="2" applyNumberFormat="1" applyFont="1" applyFill="1" applyBorder="1" applyAlignment="1">
      <alignment horizontal="left"/>
    </xf>
    <xf numFmtId="37" fontId="17" fillId="0" borderId="2" xfId="2" applyNumberFormat="1" applyFont="1" applyBorder="1" applyAlignment="1">
      <alignment horizontal="left"/>
    </xf>
    <xf numFmtId="37" fontId="18" fillId="0" borderId="3" xfId="2" applyNumberFormat="1" applyFont="1" applyBorder="1" applyAlignment="1">
      <alignment horizontal="left"/>
    </xf>
    <xf numFmtId="37" fontId="18" fillId="3" borderId="8" xfId="2" quotePrefix="1" applyNumberFormat="1" applyFont="1" applyFill="1" applyBorder="1" applyAlignment="1">
      <alignment horizontal="left"/>
    </xf>
    <xf numFmtId="37" fontId="18" fillId="4" borderId="8" xfId="2" quotePrefix="1" applyNumberFormat="1" applyFont="1" applyFill="1" applyBorder="1" applyAlignment="1">
      <alignment horizontal="left"/>
    </xf>
    <xf numFmtId="0" fontId="8" fillId="7" borderId="8" xfId="2" applyFont="1" applyFill="1" applyBorder="1" applyAlignment="1">
      <alignment horizontal="center"/>
    </xf>
    <xf numFmtId="41" fontId="8" fillId="6" borderId="8" xfId="2" applyNumberFormat="1" applyFont="1" applyFill="1" applyBorder="1" applyAlignment="1">
      <alignment horizontal="right"/>
    </xf>
    <xf numFmtId="41" fontId="24" fillId="6" borderId="5" xfId="2" applyNumberFormat="1" applyFont="1" applyFill="1" applyBorder="1" applyAlignment="1" applyProtection="1">
      <alignment horizontal="right"/>
      <protection locked="0"/>
    </xf>
    <xf numFmtId="41" fontId="8" fillId="6" borderId="5" xfId="2" applyNumberFormat="1" applyFont="1" applyFill="1" applyBorder="1" applyAlignment="1" applyProtection="1">
      <alignment horizontal="right"/>
      <protection locked="0"/>
    </xf>
    <xf numFmtId="41" fontId="10" fillId="8" borderId="8" xfId="2" applyNumberFormat="1" applyFont="1" applyFill="1" applyBorder="1" applyAlignment="1">
      <alignment horizontal="right"/>
    </xf>
    <xf numFmtId="0" fontId="8" fillId="9" borderId="25" xfId="2" applyFont="1" applyFill="1" applyBorder="1" applyAlignment="1">
      <alignment horizontal="center"/>
    </xf>
    <xf numFmtId="41" fontId="8" fillId="7" borderId="8" xfId="2" applyNumberFormat="1" applyFont="1" applyFill="1" applyBorder="1" applyAlignment="1">
      <alignment horizontal="right"/>
    </xf>
    <xf numFmtId="41" fontId="8" fillId="7" borderId="26" xfId="2" applyNumberFormat="1" applyFont="1" applyFill="1" applyBorder="1" applyAlignment="1">
      <alignment horizontal="right"/>
    </xf>
    <xf numFmtId="41" fontId="8" fillId="7" borderId="27" xfId="2" applyNumberFormat="1" applyFont="1" applyFill="1" applyBorder="1" applyAlignment="1">
      <alignment horizontal="right"/>
    </xf>
    <xf numFmtId="41" fontId="10" fillId="7" borderId="1" xfId="2" applyNumberFormat="1" applyFont="1" applyFill="1" applyBorder="1" applyAlignment="1">
      <alignment horizontal="right"/>
    </xf>
    <xf numFmtId="41" fontId="10" fillId="7" borderId="21" xfId="2" applyNumberFormat="1" applyFont="1" applyFill="1" applyBorder="1" applyAlignment="1">
      <alignment horizontal="right"/>
    </xf>
    <xf numFmtId="41" fontId="10" fillId="7" borderId="9" xfId="2" applyNumberFormat="1" applyFont="1" applyFill="1" applyBorder="1" applyAlignment="1">
      <alignment horizontal="right"/>
    </xf>
    <xf numFmtId="41" fontId="8" fillId="6" borderId="6" xfId="2" applyNumberFormat="1" applyFont="1" applyFill="1" applyBorder="1" applyAlignment="1" applyProtection="1">
      <alignment horizontal="right"/>
      <protection locked="0"/>
    </xf>
    <xf numFmtId="41" fontId="8" fillId="6" borderId="30" xfId="2" applyNumberFormat="1" applyFont="1" applyFill="1" applyBorder="1" applyAlignment="1" applyProtection="1">
      <alignment horizontal="right"/>
      <protection locked="0"/>
    </xf>
    <xf numFmtId="41" fontId="8" fillId="6" borderId="31" xfId="2" applyNumberFormat="1" applyFont="1" applyFill="1" applyBorder="1" applyAlignment="1" applyProtection="1">
      <alignment horizontal="right"/>
      <protection locked="0"/>
    </xf>
    <xf numFmtId="41" fontId="11" fillId="7" borderId="8" xfId="2" applyNumberFormat="1" applyFont="1" applyFill="1" applyBorder="1" applyAlignment="1">
      <alignment horizontal="right"/>
    </xf>
    <xf numFmtId="41" fontId="11" fillId="6" borderId="8" xfId="2" applyNumberFormat="1" applyFont="1" applyFill="1" applyBorder="1" applyAlignment="1">
      <alignment horizontal="right"/>
    </xf>
    <xf numFmtId="41" fontId="11" fillId="6" borderId="5" xfId="2" applyNumberFormat="1" applyFont="1" applyFill="1" applyBorder="1" applyAlignment="1" applyProtection="1">
      <alignment horizontal="right"/>
      <protection locked="0"/>
    </xf>
    <xf numFmtId="164" fontId="11" fillId="2" borderId="9" xfId="15" applyNumberFormat="1" applyFont="1" applyFill="1" applyBorder="1"/>
    <xf numFmtId="164" fontId="17" fillId="2" borderId="40" xfId="18" applyNumberFormat="1" applyFont="1" applyFill="1" applyBorder="1"/>
    <xf numFmtId="164" fontId="18" fillId="2" borderId="40" xfId="18" applyNumberFormat="1" applyFont="1" applyFill="1" applyBorder="1"/>
    <xf numFmtId="164" fontId="17" fillId="2" borderId="41" xfId="18" applyNumberFormat="1" applyFont="1" applyFill="1" applyBorder="1"/>
    <xf numFmtId="164" fontId="17" fillId="2" borderId="42" xfId="18" applyNumberFormat="1" applyFont="1" applyFill="1" applyBorder="1"/>
    <xf numFmtId="164" fontId="18" fillId="2" borderId="41" xfId="18" applyNumberFormat="1" applyFont="1" applyFill="1" applyBorder="1"/>
    <xf numFmtId="164" fontId="17" fillId="2" borderId="37" xfId="18" applyNumberFormat="1" applyFont="1" applyFill="1" applyBorder="1"/>
    <xf numFmtId="164" fontId="18" fillId="2" borderId="37" xfId="18" applyNumberFormat="1" applyFont="1" applyFill="1" applyBorder="1"/>
    <xf numFmtId="164" fontId="17" fillId="2" borderId="44" xfId="18" applyNumberFormat="1" applyFont="1" applyFill="1" applyBorder="1"/>
    <xf numFmtId="164" fontId="17" fillId="2" borderId="38" xfId="18" applyNumberFormat="1" applyFont="1" applyFill="1" applyBorder="1"/>
    <xf numFmtId="164" fontId="17" fillId="2" borderId="39" xfId="18" applyNumberFormat="1" applyFont="1" applyFill="1" applyBorder="1"/>
    <xf numFmtId="164" fontId="18" fillId="2" borderId="38" xfId="18" applyNumberFormat="1" applyFont="1" applyFill="1" applyBorder="1"/>
    <xf numFmtId="164" fontId="17" fillId="2" borderId="1" xfId="18" applyNumberFormat="1" applyFont="1" applyFill="1" applyBorder="1"/>
    <xf numFmtId="164" fontId="18" fillId="2" borderId="1" xfId="18" applyNumberFormat="1" applyFont="1" applyFill="1" applyBorder="1"/>
    <xf numFmtId="164" fontId="17" fillId="2" borderId="3" xfId="18" applyNumberFormat="1" applyFont="1" applyFill="1" applyBorder="1"/>
    <xf numFmtId="164" fontId="17" fillId="2" borderId="2" xfId="18" applyNumberFormat="1" applyFont="1" applyFill="1" applyBorder="1"/>
    <xf numFmtId="164" fontId="18" fillId="2" borderId="3" xfId="18" applyNumberFormat="1" applyFont="1" applyFill="1" applyBorder="1"/>
    <xf numFmtId="164" fontId="17" fillId="2" borderId="4" xfId="18" applyNumberFormat="1" applyFont="1" applyFill="1" applyBorder="1"/>
    <xf numFmtId="0" fontId="11" fillId="7" borderId="8" xfId="2" applyFont="1" applyFill="1" applyBorder="1" applyAlignment="1">
      <alignment horizontal="center"/>
    </xf>
    <xf numFmtId="164" fontId="18" fillId="6" borderId="29" xfId="18" applyNumberFormat="1" applyFont="1" applyFill="1" applyBorder="1"/>
    <xf numFmtId="41" fontId="18" fillId="6" borderId="8" xfId="2" applyNumberFormat="1" applyFont="1" applyFill="1" applyBorder="1" applyAlignment="1">
      <alignment horizontal="right"/>
    </xf>
    <xf numFmtId="164" fontId="18" fillId="6" borderId="8" xfId="18" applyNumberFormat="1" applyFont="1" applyFill="1" applyBorder="1"/>
    <xf numFmtId="164" fontId="18" fillId="6" borderId="10" xfId="18" applyNumberFormat="1" applyFont="1" applyFill="1" applyBorder="1"/>
    <xf numFmtId="41" fontId="18" fillId="6" borderId="8" xfId="2" applyNumberFormat="1" applyFont="1" applyFill="1" applyBorder="1" applyAlignment="1" applyProtection="1">
      <alignment horizontal="right"/>
      <protection locked="0"/>
    </xf>
    <xf numFmtId="164" fontId="25" fillId="6" borderId="29" xfId="18" applyNumberFormat="1" applyFont="1" applyFill="1" applyBorder="1"/>
    <xf numFmtId="164" fontId="18" fillId="8" borderId="29" xfId="18" applyNumberFormat="1" applyFont="1" applyFill="1" applyBorder="1"/>
    <xf numFmtId="41" fontId="22" fillId="8" borderId="8" xfId="2" applyNumberFormat="1" applyFont="1" applyFill="1" applyBorder="1" applyAlignment="1">
      <alignment horizontal="right"/>
    </xf>
    <xf numFmtId="164" fontId="18" fillId="8" borderId="8" xfId="18" applyNumberFormat="1" applyFont="1" applyFill="1" applyBorder="1"/>
    <xf numFmtId="164" fontId="18" fillId="8" borderId="10" xfId="18" applyNumberFormat="1" applyFont="1" applyFill="1" applyBorder="1"/>
    <xf numFmtId="164" fontId="25" fillId="8" borderId="29" xfId="18" applyNumberFormat="1" applyFont="1" applyFill="1" applyBorder="1"/>
    <xf numFmtId="164" fontId="25" fillId="6" borderId="10" xfId="18" applyNumberFormat="1" applyFont="1" applyFill="1" applyBorder="1"/>
    <xf numFmtId="41" fontId="25" fillId="6" borderId="8" xfId="2" applyNumberFormat="1" applyFont="1" applyFill="1" applyBorder="1" applyAlignment="1" applyProtection="1">
      <alignment horizontal="right"/>
      <protection locked="0"/>
    </xf>
    <xf numFmtId="0" fontId="18" fillId="10" borderId="8" xfId="2" applyFont="1" applyFill="1" applyBorder="1" applyAlignment="1">
      <alignment horizontal="center"/>
    </xf>
    <xf numFmtId="41" fontId="18" fillId="10" borderId="8" xfId="2" applyNumberFormat="1" applyFont="1" applyFill="1" applyBorder="1" applyAlignment="1">
      <alignment horizontal="right"/>
    </xf>
    <xf numFmtId="41" fontId="17" fillId="0" borderId="3" xfId="2" applyNumberFormat="1" applyFont="1" applyBorder="1" applyAlignment="1">
      <alignment horizontal="right"/>
    </xf>
    <xf numFmtId="41" fontId="17" fillId="0" borderId="2" xfId="2" applyNumberFormat="1" applyFont="1" applyBorder="1" applyAlignment="1">
      <alignment horizontal="right"/>
    </xf>
    <xf numFmtId="41" fontId="18" fillId="0" borderId="8" xfId="2" applyNumberFormat="1" applyFont="1" applyBorder="1" applyAlignment="1">
      <alignment horizontal="right"/>
    </xf>
    <xf numFmtId="41" fontId="8" fillId="12" borderId="8" xfId="2" applyNumberFormat="1" applyFont="1" applyFill="1" applyBorder="1" applyAlignment="1">
      <alignment horizontal="right"/>
    </xf>
    <xf numFmtId="0" fontId="8" fillId="11" borderId="8" xfId="2" applyFont="1" applyFill="1" applyBorder="1" applyAlignment="1">
      <alignment horizontal="center"/>
    </xf>
    <xf numFmtId="41" fontId="8" fillId="12" borderId="5" xfId="2" applyNumberFormat="1" applyFont="1" applyFill="1" applyBorder="1" applyAlignment="1" applyProtection="1">
      <alignment horizontal="right"/>
      <protection locked="0"/>
    </xf>
    <xf numFmtId="41" fontId="24" fillId="12" borderId="5" xfId="2" applyNumberFormat="1" applyFont="1" applyFill="1" applyBorder="1" applyAlignment="1" applyProtection="1">
      <alignment horizontal="right"/>
      <protection locked="0"/>
    </xf>
    <xf numFmtId="41" fontId="10" fillId="11" borderId="8" xfId="2" applyNumberFormat="1" applyFont="1" applyFill="1" applyBorder="1" applyAlignment="1">
      <alignment horizontal="right"/>
    </xf>
    <xf numFmtId="41" fontId="24" fillId="12" borderId="8" xfId="2" applyNumberFormat="1" applyFont="1" applyFill="1" applyBorder="1" applyAlignment="1">
      <alignment horizontal="right"/>
    </xf>
    <xf numFmtId="41" fontId="24" fillId="11" borderId="8" xfId="2" applyNumberFormat="1" applyFont="1" applyFill="1" applyBorder="1" applyAlignment="1">
      <alignment horizontal="right"/>
    </xf>
    <xf numFmtId="41" fontId="10" fillId="0" borderId="8" xfId="2" applyNumberFormat="1" applyFont="1" applyBorder="1" applyAlignment="1">
      <alignment horizontal="right"/>
    </xf>
    <xf numFmtId="41" fontId="9" fillId="13" borderId="3" xfId="2" applyNumberFormat="1" applyFont="1" applyFill="1" applyBorder="1" applyAlignment="1">
      <alignment horizontal="right"/>
    </xf>
    <xf numFmtId="41" fontId="8" fillId="12" borderId="26" xfId="2" applyNumberFormat="1" applyFont="1" applyFill="1" applyBorder="1" applyAlignment="1">
      <alignment horizontal="right"/>
    </xf>
    <xf numFmtId="41" fontId="8" fillId="12" borderId="27" xfId="2" applyNumberFormat="1" applyFont="1" applyFill="1" applyBorder="1" applyAlignment="1">
      <alignment horizontal="right"/>
    </xf>
    <xf numFmtId="0" fontId="8" fillId="11" borderId="25" xfId="2" applyFont="1" applyFill="1" applyBorder="1" applyAlignment="1">
      <alignment horizontal="center"/>
    </xf>
    <xf numFmtId="41" fontId="8" fillId="12" borderId="6" xfId="2" applyNumberFormat="1" applyFont="1" applyFill="1" applyBorder="1" applyAlignment="1" applyProtection="1">
      <alignment horizontal="right"/>
      <protection locked="0"/>
    </xf>
    <xf numFmtId="41" fontId="8" fillId="12" borderId="30" xfId="2" applyNumberFormat="1" applyFont="1" applyFill="1" applyBorder="1" applyAlignment="1" applyProtection="1">
      <alignment horizontal="right"/>
      <protection locked="0"/>
    </xf>
    <xf numFmtId="41" fontId="8" fillId="12" borderId="31" xfId="2" applyNumberFormat="1" applyFont="1" applyFill="1" applyBorder="1" applyAlignment="1" applyProtection="1">
      <alignment horizontal="right"/>
      <protection locked="0"/>
    </xf>
    <xf numFmtId="41" fontId="10" fillId="11" borderId="2" xfId="2" applyNumberFormat="1" applyFont="1" applyFill="1" applyBorder="1" applyAlignment="1">
      <alignment horizontal="right"/>
    </xf>
    <xf numFmtId="41" fontId="8" fillId="2" borderId="2" xfId="2" applyNumberFormat="1" applyFont="1" applyFill="1" applyBorder="1" applyAlignment="1">
      <alignment horizontal="right"/>
    </xf>
    <xf numFmtId="41" fontId="8" fillId="2" borderId="23" xfId="2" applyNumberFormat="1" applyFont="1" applyFill="1" applyBorder="1" applyAlignment="1">
      <alignment horizontal="right"/>
    </xf>
    <xf numFmtId="41" fontId="8" fillId="2" borderId="24" xfId="2" applyNumberFormat="1" applyFont="1" applyFill="1" applyBorder="1" applyAlignment="1">
      <alignment horizontal="right"/>
    </xf>
    <xf numFmtId="41" fontId="10" fillId="2" borderId="8" xfId="2" applyNumberFormat="1" applyFont="1" applyFill="1" applyBorder="1" applyAlignment="1">
      <alignment horizontal="right"/>
    </xf>
    <xf numFmtId="41" fontId="10" fillId="2" borderId="26" xfId="2" applyNumberFormat="1" applyFont="1" applyFill="1" applyBorder="1" applyAlignment="1">
      <alignment horizontal="right"/>
    </xf>
    <xf numFmtId="41" fontId="10" fillId="2" borderId="28" xfId="2" applyNumberFormat="1" applyFont="1" applyFill="1" applyBorder="1" applyAlignment="1">
      <alignment horizontal="right"/>
    </xf>
    <xf numFmtId="41" fontId="10" fillId="11" borderId="23" xfId="2" applyNumberFormat="1" applyFont="1" applyFill="1" applyBorder="1" applyAlignment="1">
      <alignment horizontal="right"/>
    </xf>
    <xf numFmtId="41" fontId="10" fillId="11" borderId="24" xfId="2" applyNumberFormat="1" applyFont="1" applyFill="1" applyBorder="1" applyAlignment="1">
      <alignment horizontal="right"/>
    </xf>
    <xf numFmtId="41" fontId="11" fillId="12" borderId="8" xfId="2" applyNumberFormat="1" applyFont="1" applyFill="1" applyBorder="1" applyAlignment="1">
      <alignment horizontal="right"/>
    </xf>
    <xf numFmtId="41" fontId="11" fillId="11" borderId="8" xfId="2" applyNumberFormat="1" applyFont="1" applyFill="1" applyBorder="1" applyAlignment="1">
      <alignment horizontal="right"/>
    </xf>
    <xf numFmtId="41" fontId="11" fillId="12" borderId="5" xfId="2" applyNumberFormat="1" applyFont="1" applyFill="1" applyBorder="1" applyAlignment="1" applyProtection="1">
      <alignment horizontal="right"/>
      <protection locked="0"/>
    </xf>
    <xf numFmtId="164" fontId="11" fillId="2" borderId="9" xfId="24" applyNumberFormat="1" applyFont="1" applyFill="1" applyBorder="1"/>
    <xf numFmtId="164" fontId="17" fillId="2" borderId="37" xfId="25" applyNumberFormat="1" applyFont="1" applyFill="1" applyBorder="1"/>
    <xf numFmtId="164" fontId="18" fillId="2" borderId="37" xfId="25" applyNumberFormat="1" applyFont="1" applyFill="1" applyBorder="1"/>
    <xf numFmtId="164" fontId="17" fillId="2" borderId="38" xfId="25" applyNumberFormat="1" applyFont="1" applyFill="1" applyBorder="1"/>
    <xf numFmtId="164" fontId="17" fillId="2" borderId="39" xfId="25" applyNumberFormat="1" applyFont="1" applyFill="1" applyBorder="1"/>
    <xf numFmtId="164" fontId="18" fillId="2" borderId="38" xfId="25" applyNumberFormat="1" applyFont="1" applyFill="1" applyBorder="1"/>
    <xf numFmtId="164" fontId="17" fillId="2" borderId="1" xfId="25" applyNumberFormat="1" applyFont="1" applyFill="1" applyBorder="1"/>
    <xf numFmtId="164" fontId="18" fillId="2" borderId="1" xfId="25" applyNumberFormat="1" applyFont="1" applyFill="1" applyBorder="1"/>
    <xf numFmtId="164" fontId="17" fillId="2" borderId="3" xfId="25" applyNumberFormat="1" applyFont="1" applyFill="1" applyBorder="1"/>
    <xf numFmtId="164" fontId="17" fillId="2" borderId="2" xfId="25" applyNumberFormat="1" applyFont="1" applyFill="1" applyBorder="1"/>
    <xf numFmtId="164" fontId="18" fillId="2" borderId="3" xfId="25" applyNumberFormat="1" applyFont="1" applyFill="1" applyBorder="1"/>
    <xf numFmtId="0" fontId="11" fillId="11" borderId="8" xfId="2" applyFont="1" applyFill="1" applyBorder="1" applyAlignment="1">
      <alignment horizontal="center"/>
    </xf>
    <xf numFmtId="41" fontId="18" fillId="12" borderId="8" xfId="2" applyNumberFormat="1" applyFont="1" applyFill="1" applyBorder="1" applyAlignment="1">
      <alignment horizontal="right"/>
    </xf>
    <xf numFmtId="164" fontId="18" fillId="12" borderId="8" xfId="25" applyNumberFormat="1" applyFont="1" applyFill="1" applyBorder="1"/>
    <xf numFmtId="164" fontId="18" fillId="12" borderId="10" xfId="25" applyNumberFormat="1" applyFont="1" applyFill="1" applyBorder="1"/>
    <xf numFmtId="41" fontId="18" fillId="12" borderId="8" xfId="2" applyNumberFormat="1" applyFont="1" applyFill="1" applyBorder="1" applyAlignment="1" applyProtection="1">
      <alignment horizontal="right"/>
      <protection locked="0"/>
    </xf>
    <xf numFmtId="41" fontId="25" fillId="12" borderId="8" xfId="2" applyNumberFormat="1" applyFont="1" applyFill="1" applyBorder="1" applyAlignment="1" applyProtection="1">
      <alignment horizontal="right"/>
      <protection locked="0"/>
    </xf>
    <xf numFmtId="164" fontId="18" fillId="11" borderId="8" xfId="25" applyNumberFormat="1" applyFont="1" applyFill="1" applyBorder="1"/>
    <xf numFmtId="41" fontId="22" fillId="11" borderId="8" xfId="2" applyNumberFormat="1" applyFont="1" applyFill="1" applyBorder="1" applyAlignment="1">
      <alignment horizontal="right"/>
    </xf>
    <xf numFmtId="164" fontId="18" fillId="11" borderId="10" xfId="25" applyNumberFormat="1" applyFont="1" applyFill="1" applyBorder="1"/>
    <xf numFmtId="41" fontId="17" fillId="2" borderId="1" xfId="2" applyNumberFormat="1" applyFont="1" applyFill="1" applyBorder="1" applyAlignment="1">
      <alignment horizontal="center"/>
    </xf>
    <xf numFmtId="41" fontId="22" fillId="2" borderId="8" xfId="2" applyNumberFormat="1" applyFont="1" applyFill="1" applyBorder="1" applyAlignment="1">
      <alignment horizontal="right"/>
    </xf>
    <xf numFmtId="164" fontId="18" fillId="2" borderId="8" xfId="25" applyNumberFormat="1" applyFont="1" applyFill="1" applyBorder="1"/>
    <xf numFmtId="164" fontId="18" fillId="2" borderId="10" xfId="25" applyNumberFormat="1" applyFont="1" applyFill="1" applyBorder="1"/>
    <xf numFmtId="41" fontId="18" fillId="2" borderId="8" xfId="2" applyNumberFormat="1" applyFont="1" applyFill="1" applyBorder="1" applyAlignment="1">
      <alignment horizontal="right"/>
    </xf>
    <xf numFmtId="164" fontId="18" fillId="2" borderId="2" xfId="25" applyNumberFormat="1" applyFont="1" applyFill="1" applyBorder="1"/>
    <xf numFmtId="164" fontId="18" fillId="2" borderId="39" xfId="25" applyNumberFormat="1" applyFont="1" applyFill="1" applyBorder="1"/>
    <xf numFmtId="0" fontId="18" fillId="11" borderId="8" xfId="2" applyFont="1" applyFill="1" applyBorder="1" applyAlignment="1">
      <alignment horizontal="center"/>
    </xf>
    <xf numFmtId="41" fontId="18" fillId="11" borderId="8" xfId="2" applyNumberFormat="1" applyFont="1" applyFill="1" applyBorder="1" applyAlignment="1">
      <alignment horizontal="right"/>
    </xf>
    <xf numFmtId="41" fontId="18" fillId="0" borderId="1" xfId="2" applyNumberFormat="1" applyFont="1" applyBorder="1" applyAlignment="1">
      <alignment horizontal="right"/>
    </xf>
    <xf numFmtId="41" fontId="18" fillId="0" borderId="25" xfId="2" applyNumberFormat="1" applyFont="1" applyBorder="1" applyAlignment="1">
      <alignment horizontal="right"/>
    </xf>
    <xf numFmtId="0" fontId="8" fillId="11" borderId="8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left"/>
    </xf>
    <xf numFmtId="166" fontId="9" fillId="0" borderId="1" xfId="0" applyNumberFormat="1" applyFont="1" applyBorder="1" applyAlignment="1">
      <alignment horizontal="right"/>
    </xf>
    <xf numFmtId="166" fontId="9" fillId="0" borderId="3" xfId="0" applyNumberFormat="1" applyFont="1" applyBorder="1" applyAlignment="1">
      <alignment horizontal="right"/>
    </xf>
    <xf numFmtId="166" fontId="10" fillId="0" borderId="8" xfId="0" applyNumberFormat="1" applyFont="1" applyBorder="1" applyAlignment="1">
      <alignment horizontal="right"/>
    </xf>
    <xf numFmtId="166" fontId="8" fillId="0" borderId="2" xfId="0" applyNumberFormat="1" applyFont="1" applyBorder="1" applyAlignment="1">
      <alignment horizontal="right"/>
    </xf>
    <xf numFmtId="166" fontId="24" fillId="12" borderId="8" xfId="0" applyNumberFormat="1" applyFont="1" applyFill="1" applyBorder="1" applyAlignment="1">
      <alignment horizontal="right"/>
    </xf>
    <xf numFmtId="166" fontId="8" fillId="12" borderId="8" xfId="0" applyNumberFormat="1" applyFont="1" applyFill="1" applyBorder="1" applyAlignment="1">
      <alignment horizontal="right"/>
    </xf>
    <xf numFmtId="166" fontId="9" fillId="0" borderId="2" xfId="0" applyNumberFormat="1" applyFont="1" applyBorder="1" applyAlignment="1">
      <alignment horizontal="right"/>
    </xf>
    <xf numFmtId="166" fontId="9" fillId="0" borderId="4" xfId="0" applyNumberFormat="1" applyFont="1" applyBorder="1" applyAlignment="1">
      <alignment horizontal="right"/>
    </xf>
    <xf numFmtId="166" fontId="24" fillId="0" borderId="8" xfId="0" applyNumberFormat="1" applyFont="1" applyBorder="1" applyAlignment="1">
      <alignment horizontal="right"/>
    </xf>
    <xf numFmtId="166" fontId="10" fillId="0" borderId="3" xfId="0" applyNumberFormat="1" applyFont="1" applyBorder="1" applyAlignment="1">
      <alignment horizontal="right"/>
    </xf>
    <xf numFmtId="166" fontId="24" fillId="11" borderId="8" xfId="0" applyNumberFormat="1" applyFont="1" applyFill="1" applyBorder="1" applyAlignment="1">
      <alignment horizontal="right"/>
    </xf>
    <xf numFmtId="166" fontId="8" fillId="11" borderId="8" xfId="0" applyNumberFormat="1" applyFont="1" applyFill="1" applyBorder="1" applyAlignment="1">
      <alignment horizontal="right"/>
    </xf>
    <xf numFmtId="166" fontId="10" fillId="11" borderId="8" xfId="0" applyNumberFormat="1" applyFont="1" applyFill="1" applyBorder="1" applyAlignment="1">
      <alignment horizontal="right"/>
    </xf>
    <xf numFmtId="166" fontId="24" fillId="12" borderId="5" xfId="0" applyNumberFormat="1" applyFont="1" applyFill="1" applyBorder="1" applyAlignment="1" applyProtection="1">
      <alignment horizontal="right"/>
      <protection locked="0"/>
    </xf>
    <xf numFmtId="166" fontId="8" fillId="12" borderId="5" xfId="0" applyNumberFormat="1" applyFont="1" applyFill="1" applyBorder="1" applyAlignment="1" applyProtection="1">
      <alignment horizontal="right"/>
      <protection locked="0"/>
    </xf>
    <xf numFmtId="0" fontId="8" fillId="11" borderId="25" xfId="0" applyFont="1" applyFill="1" applyBorder="1" applyAlignment="1">
      <alignment horizontal="center"/>
    </xf>
    <xf numFmtId="37" fontId="8" fillId="2" borderId="7" xfId="0" applyNumberFormat="1" applyFont="1" applyFill="1" applyBorder="1" applyAlignment="1">
      <alignment horizontal="center"/>
    </xf>
    <xf numFmtId="37" fontId="5" fillId="2" borderId="20" xfId="0" applyNumberFormat="1" applyFont="1" applyFill="1" applyBorder="1" applyAlignment="1">
      <alignment horizontal="center"/>
    </xf>
    <xf numFmtId="37" fontId="5" fillId="2" borderId="15" xfId="0" applyNumberFormat="1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left"/>
    </xf>
    <xf numFmtId="166" fontId="5" fillId="2" borderId="21" xfId="0" applyNumberFormat="1" applyFont="1" applyFill="1" applyBorder="1" applyAlignment="1">
      <alignment horizontal="left"/>
    </xf>
    <xf numFmtId="166" fontId="5" fillId="2" borderId="9" xfId="0" applyNumberFormat="1" applyFont="1" applyFill="1" applyBorder="1" applyAlignment="1">
      <alignment horizontal="left"/>
    </xf>
    <xf numFmtId="166" fontId="9" fillId="2" borderId="1" xfId="0" applyNumberFormat="1" applyFont="1" applyFill="1" applyBorder="1" applyAlignment="1">
      <alignment horizontal="right"/>
    </xf>
    <xf numFmtId="166" fontId="9" fillId="2" borderId="21" xfId="0" applyNumberFormat="1" applyFont="1" applyFill="1" applyBorder="1" applyAlignment="1">
      <alignment horizontal="right"/>
    </xf>
    <xf numFmtId="166" fontId="9" fillId="2" borderId="9" xfId="0" applyNumberFormat="1" applyFont="1" applyFill="1" applyBorder="1" applyAlignment="1">
      <alignment horizontal="right"/>
    </xf>
    <xf numFmtId="166" fontId="9" fillId="2" borderId="3" xfId="0" applyNumberFormat="1" applyFont="1" applyFill="1" applyBorder="1" applyAlignment="1">
      <alignment horizontal="right"/>
    </xf>
    <xf numFmtId="166" fontId="9" fillId="2" borderId="22" xfId="0" applyNumberFormat="1" applyFont="1" applyFill="1" applyBorder="1" applyAlignment="1">
      <alignment horizontal="right"/>
    </xf>
    <xf numFmtId="166" fontId="9" fillId="2" borderId="16" xfId="0" applyNumberFormat="1" applyFont="1" applyFill="1" applyBorder="1" applyAlignment="1">
      <alignment horizontal="right"/>
    </xf>
    <xf numFmtId="166" fontId="10" fillId="2" borderId="8" xfId="0" applyNumberFormat="1" applyFont="1" applyFill="1" applyBorder="1" applyAlignment="1">
      <alignment horizontal="right"/>
    </xf>
    <xf numFmtId="166" fontId="10" fillId="2" borderId="28" xfId="0" applyNumberFormat="1" applyFont="1" applyFill="1" applyBorder="1" applyAlignment="1">
      <alignment horizontal="right"/>
    </xf>
    <xf numFmtId="166" fontId="8" fillId="2" borderId="2" xfId="0" applyNumberFormat="1" applyFont="1" applyFill="1" applyBorder="1" applyAlignment="1">
      <alignment horizontal="right"/>
    </xf>
    <xf numFmtId="166" fontId="8" fillId="2" borderId="23" xfId="0" applyNumberFormat="1" applyFont="1" applyFill="1" applyBorder="1" applyAlignment="1">
      <alignment horizontal="right"/>
    </xf>
    <xf numFmtId="166" fontId="8" fillId="2" borderId="24" xfId="0" applyNumberFormat="1" applyFont="1" applyFill="1" applyBorder="1" applyAlignment="1">
      <alignment horizontal="right"/>
    </xf>
    <xf numFmtId="166" fontId="8" fillId="12" borderId="26" xfId="0" applyNumberFormat="1" applyFont="1" applyFill="1" applyBorder="1" applyAlignment="1">
      <alignment horizontal="right"/>
    </xf>
    <xf numFmtId="166" fontId="8" fillId="12" borderId="27" xfId="0" applyNumberFormat="1" applyFont="1" applyFill="1" applyBorder="1" applyAlignment="1">
      <alignment horizontal="right"/>
    </xf>
    <xf numFmtId="166" fontId="9" fillId="2" borderId="2" xfId="0" applyNumberFormat="1" applyFont="1" applyFill="1" applyBorder="1" applyAlignment="1">
      <alignment horizontal="right"/>
    </xf>
    <xf numFmtId="166" fontId="9" fillId="2" borderId="23" xfId="0" applyNumberFormat="1" applyFont="1" applyFill="1" applyBorder="1" applyAlignment="1">
      <alignment horizontal="right"/>
    </xf>
    <xf numFmtId="166" fontId="9" fillId="2" borderId="24" xfId="0" applyNumberFormat="1" applyFont="1" applyFill="1" applyBorder="1" applyAlignment="1">
      <alignment horizontal="right"/>
    </xf>
    <xf numFmtId="166" fontId="8" fillId="2" borderId="1" xfId="0" applyNumberFormat="1" applyFont="1" applyFill="1" applyBorder="1" applyAlignment="1">
      <alignment horizontal="right"/>
    </xf>
    <xf numFmtId="166" fontId="8" fillId="2" borderId="21" xfId="0" applyNumberFormat="1" applyFont="1" applyFill="1" applyBorder="1" applyAlignment="1">
      <alignment horizontal="right"/>
    </xf>
    <xf numFmtId="166" fontId="8" fillId="2" borderId="9" xfId="0" applyNumberFormat="1" applyFont="1" applyFill="1" applyBorder="1" applyAlignment="1">
      <alignment horizontal="right"/>
    </xf>
    <xf numFmtId="166" fontId="10" fillId="11" borderId="2" xfId="0" applyNumberFormat="1" applyFont="1" applyFill="1" applyBorder="1" applyAlignment="1">
      <alignment horizontal="right"/>
    </xf>
    <xf numFmtId="166" fontId="24" fillId="12" borderId="6" xfId="0" applyNumberFormat="1" applyFont="1" applyFill="1" applyBorder="1" applyAlignment="1" applyProtection="1">
      <alignment horizontal="right"/>
      <protection locked="0"/>
    </xf>
    <xf numFmtId="166" fontId="8" fillId="12" borderId="6" xfId="0" applyNumberFormat="1" applyFont="1" applyFill="1" applyBorder="1" applyAlignment="1" applyProtection="1">
      <alignment horizontal="right"/>
      <protection locked="0"/>
    </xf>
    <xf numFmtId="166" fontId="8" fillId="12" borderId="31" xfId="0" applyNumberFormat="1" applyFont="1" applyFill="1" applyBorder="1" applyAlignment="1" applyProtection="1">
      <alignment horizontal="right"/>
      <protection locked="0"/>
    </xf>
    <xf numFmtId="166" fontId="16" fillId="2" borderId="1" xfId="0" applyNumberFormat="1" applyFont="1" applyFill="1" applyBorder="1" applyAlignment="1">
      <alignment horizontal="right"/>
    </xf>
    <xf numFmtId="166" fontId="15" fillId="2" borderId="1" xfId="0" applyNumberFormat="1" applyFont="1" applyFill="1" applyBorder="1" applyAlignment="1">
      <alignment horizontal="right"/>
    </xf>
    <xf numFmtId="166" fontId="11" fillId="2" borderId="1" xfId="0" applyNumberFormat="1" applyFont="1" applyFill="1" applyBorder="1" applyAlignment="1">
      <alignment horizontal="right"/>
    </xf>
    <xf numFmtId="166" fontId="16" fillId="2" borderId="3" xfId="0" applyNumberFormat="1" applyFont="1" applyFill="1" applyBorder="1" applyAlignment="1">
      <alignment horizontal="right"/>
    </xf>
    <xf numFmtId="166" fontId="11" fillId="12" borderId="8" xfId="0" applyNumberFormat="1" applyFont="1" applyFill="1" applyBorder="1" applyAlignment="1">
      <alignment horizontal="right"/>
    </xf>
    <xf numFmtId="166" fontId="26" fillId="12" borderId="8" xfId="0" applyNumberFormat="1" applyFont="1" applyFill="1" applyBorder="1" applyAlignment="1">
      <alignment horizontal="right"/>
    </xf>
    <xf numFmtId="166" fontId="16" fillId="2" borderId="2" xfId="0" applyNumberFormat="1" applyFont="1" applyFill="1" applyBorder="1" applyAlignment="1">
      <alignment horizontal="right"/>
    </xf>
    <xf numFmtId="166" fontId="15" fillId="2" borderId="3" xfId="0" applyNumberFormat="1" applyFont="1" applyFill="1" applyBorder="1" applyAlignment="1">
      <alignment horizontal="right"/>
    </xf>
    <xf numFmtId="166" fontId="11" fillId="11" borderId="8" xfId="0" applyNumberFormat="1" applyFont="1" applyFill="1" applyBorder="1" applyAlignment="1">
      <alignment horizontal="right"/>
    </xf>
    <xf numFmtId="166" fontId="11" fillId="12" borderId="5" xfId="0" applyNumberFormat="1" applyFont="1" applyFill="1" applyBorder="1" applyAlignment="1" applyProtection="1">
      <alignment horizontal="right"/>
      <protection locked="0"/>
    </xf>
    <xf numFmtId="166" fontId="26" fillId="12" borderId="5" xfId="0" applyNumberFormat="1" applyFont="1" applyFill="1" applyBorder="1" applyAlignment="1" applyProtection="1">
      <alignment horizontal="right"/>
      <protection locked="0"/>
    </xf>
    <xf numFmtId="37" fontId="11" fillId="2" borderId="9" xfId="0" applyNumberFormat="1" applyFont="1" applyFill="1" applyBorder="1" applyAlignment="1">
      <alignment horizontal="center"/>
    </xf>
    <xf numFmtId="164" fontId="11" fillId="2" borderId="9" xfId="1" applyNumberFormat="1" applyFont="1" applyFill="1" applyBorder="1"/>
    <xf numFmtId="166" fontId="11" fillId="2" borderId="9" xfId="0" applyNumberFormat="1" applyFont="1" applyFill="1" applyBorder="1" applyAlignment="1">
      <alignment horizontal="left"/>
    </xf>
    <xf numFmtId="166" fontId="16" fillId="2" borderId="9" xfId="0" applyNumberFormat="1" applyFont="1" applyFill="1" applyBorder="1" applyAlignment="1">
      <alignment horizontal="right"/>
    </xf>
    <xf numFmtId="0" fontId="7" fillId="0" borderId="9" xfId="0" applyFont="1" applyBorder="1"/>
    <xf numFmtId="166" fontId="11" fillId="2" borderId="9" xfId="0" applyNumberFormat="1" applyFont="1" applyFill="1" applyBorder="1" applyAlignment="1">
      <alignment horizontal="right"/>
    </xf>
    <xf numFmtId="164" fontId="16" fillId="2" borderId="9" xfId="1" applyNumberFormat="1" applyFont="1" applyFill="1" applyBorder="1" applyAlignment="1" applyProtection="1">
      <alignment horizontal="right"/>
    </xf>
    <xf numFmtId="0" fontId="11" fillId="11" borderId="8" xfId="0" applyFont="1" applyFill="1" applyBorder="1" applyAlignment="1">
      <alignment horizontal="center"/>
    </xf>
    <xf numFmtId="37" fontId="11" fillId="2" borderId="42" xfId="0" applyNumberFormat="1" applyFont="1" applyFill="1" applyBorder="1" applyAlignment="1">
      <alignment horizontal="center"/>
    </xf>
    <xf numFmtId="37" fontId="11" fillId="2" borderId="2" xfId="0" applyNumberFormat="1" applyFont="1" applyFill="1" applyBorder="1" applyAlignment="1">
      <alignment horizontal="center"/>
    </xf>
    <xf numFmtId="0" fontId="6" fillId="2" borderId="39" xfId="0" applyFont="1" applyFill="1" applyBorder="1"/>
    <xf numFmtId="37" fontId="8" fillId="2" borderId="36" xfId="0" applyNumberFormat="1" applyFont="1" applyFill="1" applyBorder="1" applyAlignment="1">
      <alignment horizontal="center"/>
    </xf>
    <xf numFmtId="37" fontId="8" fillId="2" borderId="2" xfId="0" applyNumberFormat="1" applyFont="1" applyFill="1" applyBorder="1" applyAlignment="1">
      <alignment horizontal="center"/>
    </xf>
    <xf numFmtId="166" fontId="11" fillId="2" borderId="40" xfId="0" applyNumberFormat="1" applyFont="1" applyFill="1" applyBorder="1" applyAlignment="1">
      <alignment horizontal="left"/>
    </xf>
    <xf numFmtId="166" fontId="11" fillId="2" borderId="1" xfId="0" applyNumberFormat="1" applyFont="1" applyFill="1" applyBorder="1" applyAlignment="1">
      <alignment horizontal="left"/>
    </xf>
    <xf numFmtId="0" fontId="6" fillId="2" borderId="37" xfId="0" applyFont="1" applyFill="1" applyBorder="1"/>
    <xf numFmtId="166" fontId="8" fillId="2" borderId="37" xfId="0" applyNumberFormat="1" applyFont="1" applyFill="1" applyBorder="1" applyAlignment="1">
      <alignment horizontal="left"/>
    </xf>
    <xf numFmtId="166" fontId="17" fillId="2" borderId="1" xfId="0" applyNumberFormat="1" applyFont="1" applyFill="1" applyBorder="1" applyAlignment="1">
      <alignment horizontal="right"/>
    </xf>
    <xf numFmtId="164" fontId="17" fillId="2" borderId="1" xfId="1" applyNumberFormat="1" applyFont="1" applyFill="1" applyBorder="1"/>
    <xf numFmtId="164" fontId="17" fillId="2" borderId="37" xfId="1" applyNumberFormat="1" applyFont="1" applyFill="1" applyBorder="1"/>
    <xf numFmtId="166" fontId="17" fillId="2" borderId="3" xfId="0" applyNumberFormat="1" applyFont="1" applyFill="1" applyBorder="1" applyAlignment="1">
      <alignment horizontal="right"/>
    </xf>
    <xf numFmtId="164" fontId="17" fillId="2" borderId="3" xfId="1" applyNumberFormat="1" applyFont="1" applyFill="1" applyBorder="1"/>
    <xf numFmtId="164" fontId="17" fillId="2" borderId="38" xfId="1" applyNumberFormat="1" applyFont="1" applyFill="1" applyBorder="1"/>
    <xf numFmtId="166" fontId="22" fillId="2" borderId="8" xfId="0" applyNumberFormat="1" applyFont="1" applyFill="1" applyBorder="1" applyAlignment="1">
      <alignment horizontal="right"/>
    </xf>
    <xf numFmtId="164" fontId="18" fillId="2" borderId="8" xfId="1" applyNumberFormat="1" applyFont="1" applyFill="1" applyBorder="1"/>
    <xf numFmtId="166" fontId="18" fillId="2" borderId="8" xfId="0" applyNumberFormat="1" applyFont="1" applyFill="1" applyBorder="1" applyAlignment="1">
      <alignment horizontal="right"/>
    </xf>
    <xf numFmtId="164" fontId="18" fillId="2" borderId="10" xfId="1" applyNumberFormat="1" applyFont="1" applyFill="1" applyBorder="1"/>
    <xf numFmtId="166" fontId="17" fillId="2" borderId="2" xfId="0" applyNumberFormat="1" applyFont="1" applyFill="1" applyBorder="1" applyAlignment="1">
      <alignment horizontal="right"/>
    </xf>
    <xf numFmtId="164" fontId="18" fillId="2" borderId="2" xfId="1" applyNumberFormat="1" applyFont="1" applyFill="1" applyBorder="1"/>
    <xf numFmtId="164" fontId="18" fillId="2" borderId="39" xfId="1" applyNumberFormat="1" applyFont="1" applyFill="1" applyBorder="1"/>
    <xf numFmtId="164" fontId="17" fillId="2" borderId="2" xfId="1" applyNumberFormat="1" applyFont="1" applyFill="1" applyBorder="1"/>
    <xf numFmtId="164" fontId="17" fillId="2" borderId="39" xfId="1" applyNumberFormat="1" applyFont="1" applyFill="1" applyBorder="1"/>
    <xf numFmtId="166" fontId="18" fillId="12" borderId="8" xfId="0" applyNumberFormat="1" applyFont="1" applyFill="1" applyBorder="1" applyAlignment="1">
      <alignment horizontal="right"/>
    </xf>
    <xf numFmtId="164" fontId="18" fillId="12" borderId="8" xfId="1" applyNumberFormat="1" applyFont="1" applyFill="1" applyBorder="1"/>
    <xf numFmtId="164" fontId="18" fillId="12" borderId="10" xfId="1" applyNumberFormat="1" applyFont="1" applyFill="1" applyBorder="1"/>
    <xf numFmtId="166" fontId="22" fillId="2" borderId="3" xfId="0" applyNumberFormat="1" applyFont="1" applyFill="1" applyBorder="1" applyAlignment="1">
      <alignment horizontal="right"/>
    </xf>
    <xf numFmtId="164" fontId="18" fillId="2" borderId="3" xfId="1" applyNumberFormat="1" applyFont="1" applyFill="1" applyBorder="1"/>
    <xf numFmtId="164" fontId="18" fillId="2" borderId="38" xfId="1" applyNumberFormat="1" applyFont="1" applyFill="1" applyBorder="1"/>
    <xf numFmtId="166" fontId="22" fillId="2" borderId="1" xfId="0" applyNumberFormat="1" applyFont="1" applyFill="1" applyBorder="1" applyAlignment="1">
      <alignment horizontal="right"/>
    </xf>
    <xf numFmtId="164" fontId="18" fillId="2" borderId="1" xfId="1" applyNumberFormat="1" applyFont="1" applyFill="1" applyBorder="1"/>
    <xf numFmtId="164" fontId="18" fillId="2" borderId="37" xfId="1" applyNumberFormat="1" applyFont="1" applyFill="1" applyBorder="1"/>
    <xf numFmtId="166" fontId="17" fillId="2" borderId="1" xfId="0" applyNumberFormat="1" applyFont="1" applyFill="1" applyBorder="1" applyAlignment="1">
      <alignment horizontal="center"/>
    </xf>
    <xf numFmtId="166" fontId="22" fillId="11" borderId="8" xfId="0" applyNumberFormat="1" applyFont="1" applyFill="1" applyBorder="1" applyAlignment="1">
      <alignment horizontal="right"/>
    </xf>
    <xf numFmtId="164" fontId="18" fillId="11" borderId="8" xfId="1" applyNumberFormat="1" applyFont="1" applyFill="1" applyBorder="1"/>
    <xf numFmtId="166" fontId="25" fillId="12" borderId="8" xfId="0" applyNumberFormat="1" applyFont="1" applyFill="1" applyBorder="1" applyAlignment="1" applyProtection="1">
      <alignment horizontal="right"/>
      <protection locked="0"/>
    </xf>
    <xf numFmtId="166" fontId="25" fillId="11" borderId="8" xfId="0" applyNumberFormat="1" applyFont="1" applyFill="1" applyBorder="1" applyAlignment="1">
      <alignment horizontal="right"/>
    </xf>
    <xf numFmtId="166" fontId="18" fillId="12" borderId="8" xfId="0" applyNumberFormat="1" applyFont="1" applyFill="1" applyBorder="1" applyAlignment="1" applyProtection="1">
      <alignment horizontal="right"/>
      <protection locked="0"/>
    </xf>
    <xf numFmtId="0" fontId="18" fillId="11" borderId="8" xfId="0" applyFont="1" applyFill="1" applyBorder="1" applyAlignment="1">
      <alignment horizontal="center"/>
    </xf>
    <xf numFmtId="0" fontId="17" fillId="2" borderId="9" xfId="0" applyFont="1" applyFill="1" applyBorder="1"/>
    <xf numFmtId="0" fontId="16" fillId="2" borderId="9" xfId="0" applyFont="1" applyFill="1" applyBorder="1"/>
    <xf numFmtId="166" fontId="17" fillId="0" borderId="1" xfId="0" applyNumberFormat="1" applyFont="1" applyBorder="1" applyAlignment="1">
      <alignment horizontal="right"/>
    </xf>
    <xf numFmtId="166" fontId="17" fillId="0" borderId="3" xfId="0" applyNumberFormat="1" applyFont="1" applyBorder="1" applyAlignment="1">
      <alignment horizontal="right"/>
    </xf>
    <xf numFmtId="166" fontId="18" fillId="0" borderId="8" xfId="0" applyNumberFormat="1" applyFont="1" applyBorder="1" applyAlignment="1">
      <alignment horizontal="right"/>
    </xf>
    <xf numFmtId="166" fontId="17" fillId="0" borderId="2" xfId="0" applyNumberFormat="1" applyFont="1" applyBorder="1" applyAlignment="1">
      <alignment horizontal="right"/>
    </xf>
    <xf numFmtId="166" fontId="18" fillId="0" borderId="25" xfId="0" applyNumberFormat="1" applyFont="1" applyBorder="1" applyAlignment="1">
      <alignment horizontal="right"/>
    </xf>
    <xf numFmtId="166" fontId="18" fillId="0" borderId="1" xfId="0" applyNumberFormat="1" applyFont="1" applyBorder="1" applyAlignment="1">
      <alignment horizontal="right"/>
    </xf>
    <xf numFmtId="166" fontId="18" fillId="11" borderId="8" xfId="0" applyNumberFormat="1" applyFont="1" applyFill="1" applyBorder="1" applyAlignment="1">
      <alignment horizontal="right"/>
    </xf>
    <xf numFmtId="41" fontId="8" fillId="0" borderId="8" xfId="2" applyNumberFormat="1" applyFont="1" applyBorder="1" applyAlignment="1">
      <alignment horizontal="right"/>
    </xf>
    <xf numFmtId="41" fontId="24" fillId="0" borderId="8" xfId="2" applyNumberFormat="1" applyFont="1" applyBorder="1" applyAlignment="1">
      <alignment horizontal="right"/>
    </xf>
    <xf numFmtId="41" fontId="9" fillId="0" borderId="4" xfId="2" applyNumberFormat="1" applyFont="1" applyBorder="1" applyAlignment="1">
      <alignment horizontal="right"/>
    </xf>
    <xf numFmtId="41" fontId="8" fillId="11" borderId="8" xfId="2" applyNumberFormat="1" applyFont="1" applyFill="1" applyBorder="1" applyAlignment="1">
      <alignment horizontal="right"/>
    </xf>
    <xf numFmtId="41" fontId="9" fillId="0" borderId="1" xfId="2" applyNumberFormat="1" applyFont="1" applyBorder="1" applyAlignment="1">
      <alignment horizontal="left"/>
    </xf>
    <xf numFmtId="41" fontId="24" fillId="12" borderId="6" xfId="2" applyNumberFormat="1" applyFont="1" applyFill="1" applyBorder="1" applyAlignment="1" applyProtection="1">
      <alignment horizontal="right"/>
      <protection locked="0"/>
    </xf>
    <xf numFmtId="41" fontId="24" fillId="12" borderId="26" xfId="2" applyNumberFormat="1" applyFont="1" applyFill="1" applyBorder="1" applyAlignment="1">
      <alignment horizontal="right"/>
    </xf>
    <xf numFmtId="41" fontId="24" fillId="11" borderId="2" xfId="2" applyNumberFormat="1" applyFont="1" applyFill="1" applyBorder="1" applyAlignment="1">
      <alignment horizontal="right"/>
    </xf>
    <xf numFmtId="41" fontId="26" fillId="12" borderId="5" xfId="2" applyNumberFormat="1" applyFont="1" applyFill="1" applyBorder="1" applyAlignment="1" applyProtection="1">
      <alignment horizontal="right"/>
      <protection locked="0"/>
    </xf>
    <xf numFmtId="164" fontId="11" fillId="2" borderId="9" xfId="27" applyNumberFormat="1" applyFont="1" applyFill="1" applyBorder="1"/>
    <xf numFmtId="164" fontId="16" fillId="2" borderId="9" xfId="27" applyNumberFormat="1" applyFont="1" applyFill="1" applyBorder="1" applyAlignment="1" applyProtection="1">
      <alignment horizontal="right"/>
    </xf>
    <xf numFmtId="164" fontId="18" fillId="2" borderId="37" xfId="32" applyNumberFormat="1" applyFont="1" applyFill="1" applyBorder="1"/>
    <xf numFmtId="164" fontId="17" fillId="2" borderId="37" xfId="32" applyNumberFormat="1" applyFont="1" applyFill="1" applyBorder="1"/>
    <xf numFmtId="164" fontId="17" fillId="2" borderId="38" xfId="32" applyNumberFormat="1" applyFont="1" applyFill="1" applyBorder="1"/>
    <xf numFmtId="164" fontId="18" fillId="2" borderId="10" xfId="32" applyNumberFormat="1" applyFont="1" applyFill="1" applyBorder="1"/>
    <xf numFmtId="164" fontId="18" fillId="2" borderId="39" xfId="32" applyNumberFormat="1" applyFont="1" applyFill="1" applyBorder="1"/>
    <xf numFmtId="164" fontId="17" fillId="2" borderId="39" xfId="32" applyNumberFormat="1" applyFont="1" applyFill="1" applyBorder="1"/>
    <xf numFmtId="164" fontId="18" fillId="12" borderId="10" xfId="32" applyNumberFormat="1" applyFont="1" applyFill="1" applyBorder="1"/>
    <xf numFmtId="164" fontId="18" fillId="2" borderId="38" xfId="32" applyNumberFormat="1" applyFont="1" applyFill="1" applyBorder="1"/>
    <xf numFmtId="41" fontId="8" fillId="2" borderId="8" xfId="2" applyNumberFormat="1" applyFont="1" applyFill="1" applyBorder="1" applyAlignment="1">
      <alignment horizontal="right"/>
    </xf>
    <xf numFmtId="41" fontId="9" fillId="2" borderId="4" xfId="2" applyNumberFormat="1" applyFont="1" applyFill="1" applyBorder="1" applyAlignment="1">
      <alignment horizontal="right"/>
    </xf>
    <xf numFmtId="166" fontId="8" fillId="2" borderId="8" xfId="0" applyNumberFormat="1" applyFont="1" applyFill="1" applyBorder="1" applyAlignment="1">
      <alignment horizontal="right"/>
    </xf>
    <xf numFmtId="164" fontId="11" fillId="2" borderId="9" xfId="41" applyNumberFormat="1" applyFont="1" applyFill="1" applyBorder="1"/>
    <xf numFmtId="164" fontId="16" fillId="2" borderId="9" xfId="41" applyNumberFormat="1" applyFont="1" applyFill="1" applyBorder="1" applyAlignment="1" applyProtection="1">
      <alignment horizontal="right"/>
    </xf>
    <xf numFmtId="164" fontId="18" fillId="2" borderId="37" xfId="42" applyNumberFormat="1" applyFont="1" applyFill="1" applyBorder="1"/>
    <xf numFmtId="164" fontId="17" fillId="2" borderId="37" xfId="42" applyNumberFormat="1" applyFont="1" applyFill="1" applyBorder="1"/>
    <xf numFmtId="164" fontId="17" fillId="2" borderId="38" xfId="42" applyNumberFormat="1" applyFont="1" applyFill="1" applyBorder="1"/>
    <xf numFmtId="164" fontId="18" fillId="2" borderId="10" xfId="42" applyNumberFormat="1" applyFont="1" applyFill="1" applyBorder="1"/>
    <xf numFmtId="164" fontId="18" fillId="2" borderId="39" xfId="42" applyNumberFormat="1" applyFont="1" applyFill="1" applyBorder="1"/>
    <xf numFmtId="164" fontId="17" fillId="2" borderId="39" xfId="42" applyNumberFormat="1" applyFont="1" applyFill="1" applyBorder="1"/>
    <xf numFmtId="164" fontId="18" fillId="12" borderId="10" xfId="42" applyNumberFormat="1" applyFont="1" applyFill="1" applyBorder="1"/>
    <xf numFmtId="164" fontId="18" fillId="2" borderId="38" xfId="42" applyNumberFormat="1" applyFont="1" applyFill="1" applyBorder="1"/>
    <xf numFmtId="166" fontId="8" fillId="0" borderId="8" xfId="0" applyNumberFormat="1" applyFont="1" applyBorder="1" applyAlignment="1">
      <alignment horizontal="right"/>
    </xf>
    <xf numFmtId="166" fontId="8" fillId="2" borderId="3" xfId="0" applyNumberFormat="1" applyFont="1" applyFill="1" applyBorder="1" applyAlignment="1">
      <alignment horizontal="right"/>
    </xf>
    <xf numFmtId="166" fontId="8" fillId="0" borderId="3" xfId="0" applyNumberFormat="1" applyFont="1" applyBorder="1" applyAlignment="1">
      <alignment horizontal="right"/>
    </xf>
    <xf numFmtId="166" fontId="9" fillId="2" borderId="4" xfId="0" applyNumberFormat="1" applyFont="1" applyFill="1" applyBorder="1" applyAlignment="1">
      <alignment horizontal="right"/>
    </xf>
    <xf numFmtId="37" fontId="8" fillId="0" borderId="49" xfId="0" applyNumberFormat="1" applyFont="1" applyBorder="1" applyAlignment="1">
      <alignment horizontal="center"/>
    </xf>
    <xf numFmtId="37" fontId="8" fillId="0" borderId="4" xfId="0" applyNumberFormat="1" applyFont="1" applyBorder="1" applyAlignment="1">
      <alignment horizontal="center"/>
    </xf>
    <xf numFmtId="166" fontId="17" fillId="0" borderId="6" xfId="0" applyNumberFormat="1" applyFont="1" applyBorder="1" applyAlignment="1">
      <alignment horizontal="right"/>
    </xf>
    <xf numFmtId="166" fontId="25" fillId="16" borderId="8" xfId="0" applyNumberFormat="1" applyFont="1" applyFill="1" applyBorder="1" applyAlignment="1">
      <alignment horizontal="right"/>
    </xf>
    <xf numFmtId="166" fontId="18" fillId="18" borderId="8" xfId="0" applyNumberFormat="1" applyFont="1" applyFill="1" applyBorder="1" applyAlignment="1">
      <alignment horizontal="right"/>
    </xf>
    <xf numFmtId="166" fontId="25" fillId="2" borderId="8" xfId="0" applyNumberFormat="1" applyFont="1" applyFill="1" applyBorder="1" applyAlignment="1">
      <alignment horizontal="right"/>
    </xf>
    <xf numFmtId="166" fontId="25" fillId="2" borderId="25" xfId="0" applyNumberFormat="1" applyFont="1" applyFill="1" applyBorder="1" applyAlignment="1">
      <alignment horizontal="right"/>
    </xf>
    <xf numFmtId="166" fontId="18" fillId="2" borderId="25" xfId="0" applyNumberFormat="1" applyFont="1" applyFill="1" applyBorder="1" applyAlignment="1">
      <alignment horizontal="right"/>
    </xf>
    <xf numFmtId="3" fontId="34" fillId="20" borderId="51" xfId="0" applyNumberFormat="1" applyFont="1" applyFill="1" applyBorder="1" applyAlignment="1">
      <alignment horizontal="right" vertical="center" wrapText="1"/>
    </xf>
    <xf numFmtId="3" fontId="34" fillId="20" borderId="52" xfId="0" applyNumberFormat="1" applyFont="1" applyFill="1" applyBorder="1" applyAlignment="1">
      <alignment horizontal="right" vertical="center" wrapText="1"/>
    </xf>
    <xf numFmtId="0" fontId="33" fillId="19" borderId="53" xfId="0" applyFont="1" applyFill="1" applyBorder="1" applyAlignment="1">
      <alignment horizontal="center" vertical="center" wrapText="1"/>
    </xf>
    <xf numFmtId="3" fontId="32" fillId="0" borderId="54" xfId="0" applyNumberFormat="1" applyFont="1" applyBorder="1" applyAlignment="1">
      <alignment horizontal="right" vertical="center" wrapText="1"/>
    </xf>
    <xf numFmtId="164" fontId="0" fillId="0" borderId="0" xfId="1" applyNumberFormat="1" applyFont="1"/>
    <xf numFmtId="3" fontId="33" fillId="19" borderId="56" xfId="0" applyNumberFormat="1" applyFont="1" applyFill="1" applyBorder="1" applyAlignment="1">
      <alignment horizontal="center" vertical="center" wrapText="1"/>
    </xf>
    <xf numFmtId="0" fontId="33" fillId="19" borderId="57" xfId="0" applyFont="1" applyFill="1" applyBorder="1" applyAlignment="1">
      <alignment horizontal="center" vertical="center" wrapText="1"/>
    </xf>
    <xf numFmtId="3" fontId="32" fillId="0" borderId="56" xfId="0" applyNumberFormat="1" applyFont="1" applyBorder="1" applyAlignment="1">
      <alignment horizontal="right" vertical="center" wrapText="1"/>
    </xf>
    <xf numFmtId="3" fontId="34" fillId="20" borderId="56" xfId="0" applyNumberFormat="1" applyFont="1" applyFill="1" applyBorder="1" applyAlignment="1">
      <alignment horizontal="right" vertical="center" wrapText="1"/>
    </xf>
    <xf numFmtId="3" fontId="33" fillId="19" borderId="51" xfId="0" applyNumberFormat="1" applyFont="1" applyFill="1" applyBorder="1" applyAlignment="1">
      <alignment horizontal="right" vertical="center" wrapText="1"/>
    </xf>
    <xf numFmtId="3" fontId="34" fillId="20" borderId="51" xfId="0" applyNumberFormat="1" applyFont="1" applyFill="1" applyBorder="1" applyAlignment="1">
      <alignment horizontal="center" vertical="center" wrapText="1"/>
    </xf>
    <xf numFmtId="3" fontId="33" fillId="19" borderId="51" xfId="0" applyNumberFormat="1" applyFont="1" applyFill="1" applyBorder="1" applyAlignment="1">
      <alignment horizontal="center" vertical="center" wrapText="1"/>
    </xf>
    <xf numFmtId="0" fontId="35" fillId="20" borderId="56" xfId="0" applyFont="1" applyFill="1" applyBorder="1" applyAlignment="1">
      <alignment vertical="center" wrapText="1"/>
    </xf>
    <xf numFmtId="0" fontId="35" fillId="0" borderId="56" xfId="0" applyFont="1" applyBorder="1" applyAlignment="1">
      <alignment vertical="center" wrapText="1"/>
    </xf>
    <xf numFmtId="38" fontId="17" fillId="0" borderId="1" xfId="54" applyNumberFormat="1" applyFont="1" applyFill="1" applyBorder="1" applyAlignment="1" applyProtection="1">
      <alignment horizontal="right"/>
    </xf>
    <xf numFmtId="38" fontId="17" fillId="0" borderId="1" xfId="54" applyNumberFormat="1" applyFont="1" applyFill="1" applyBorder="1" applyAlignment="1">
      <alignment horizontal="right"/>
    </xf>
    <xf numFmtId="38" fontId="17" fillId="0" borderId="3" xfId="54" applyNumberFormat="1" applyFont="1" applyFill="1" applyBorder="1" applyAlignment="1" applyProtection="1">
      <alignment horizontal="right"/>
    </xf>
    <xf numFmtId="38" fontId="17" fillId="0" borderId="3" xfId="54" applyNumberFormat="1" applyFont="1" applyFill="1" applyBorder="1" applyAlignment="1">
      <alignment horizontal="right"/>
    </xf>
    <xf numFmtId="38" fontId="18" fillId="0" borderId="8" xfId="54" applyNumberFormat="1" applyFont="1" applyFill="1" applyBorder="1" applyAlignment="1" applyProtection="1">
      <alignment horizontal="right"/>
    </xf>
    <xf numFmtId="38" fontId="17" fillId="0" borderId="2" xfId="54" applyNumberFormat="1" applyFont="1" applyFill="1" applyBorder="1" applyAlignment="1" applyProtection="1">
      <alignment horizontal="right"/>
    </xf>
    <xf numFmtId="38" fontId="17" fillId="0" borderId="1" xfId="54" applyNumberFormat="1" applyFont="1" applyFill="1" applyBorder="1"/>
    <xf numFmtId="38" fontId="18" fillId="0" borderId="8" xfId="54" applyNumberFormat="1" applyFont="1" applyFill="1" applyBorder="1" applyAlignment="1">
      <alignment horizontal="right"/>
    </xf>
    <xf numFmtId="38" fontId="17" fillId="0" borderId="3" xfId="54" applyNumberFormat="1" applyFont="1" applyFill="1" applyBorder="1"/>
    <xf numFmtId="38" fontId="17" fillId="0" borderId="4" xfId="54" applyNumberFormat="1" applyFont="1" applyFill="1" applyBorder="1" applyAlignment="1" applyProtection="1">
      <alignment horizontal="right"/>
    </xf>
    <xf numFmtId="38" fontId="18" fillId="16" borderId="8" xfId="54" applyNumberFormat="1" applyFont="1" applyFill="1" applyBorder="1" applyAlignment="1">
      <alignment horizontal="right"/>
    </xf>
    <xf numFmtId="38" fontId="22" fillId="0" borderId="8" xfId="54" applyNumberFormat="1" applyFont="1" applyFill="1" applyBorder="1" applyAlignment="1">
      <alignment horizontal="right"/>
    </xf>
    <xf numFmtId="38" fontId="18" fillId="0" borderId="8" xfId="54" applyNumberFormat="1" applyFont="1" applyFill="1" applyBorder="1"/>
    <xf numFmtId="38" fontId="17" fillId="0" borderId="2" xfId="54" applyNumberFormat="1" applyFont="1" applyBorder="1" applyAlignment="1">
      <alignment horizontal="right"/>
    </xf>
    <xf numFmtId="38" fontId="18" fillId="11" borderId="8" xfId="54" applyNumberFormat="1" applyFont="1" applyFill="1" applyBorder="1" applyAlignment="1" applyProtection="1">
      <alignment horizontal="right"/>
    </xf>
    <xf numFmtId="38" fontId="31" fillId="11" borderId="8" xfId="54" applyNumberFormat="1" applyFont="1" applyFill="1" applyBorder="1" applyAlignment="1" applyProtection="1">
      <alignment horizontal="right"/>
    </xf>
    <xf numFmtId="38" fontId="17" fillId="0" borderId="1" xfId="54" applyNumberFormat="1" applyFont="1" applyBorder="1" applyAlignment="1">
      <alignment horizontal="right"/>
    </xf>
    <xf numFmtId="38" fontId="18" fillId="2" borderId="8" xfId="54" applyNumberFormat="1" applyFont="1" applyFill="1" applyBorder="1" applyAlignment="1">
      <alignment horizontal="right"/>
    </xf>
    <xf numFmtId="38" fontId="17" fillId="0" borderId="7" xfId="54" applyNumberFormat="1" applyFont="1" applyFill="1" applyBorder="1" applyAlignment="1" applyProtection="1">
      <alignment horizontal="right"/>
    </xf>
    <xf numFmtId="38" fontId="17" fillId="0" borderId="7" xfId="54" applyNumberFormat="1" applyFont="1" applyBorder="1" applyAlignment="1">
      <alignment horizontal="right"/>
    </xf>
    <xf numFmtId="38" fontId="17" fillId="0" borderId="7" xfId="54" applyNumberFormat="1" applyFont="1" applyBorder="1"/>
    <xf numFmtId="38" fontId="17" fillId="2" borderId="7" xfId="54" applyNumberFormat="1" applyFont="1" applyFill="1" applyBorder="1" applyAlignment="1" applyProtection="1">
      <alignment horizontal="right"/>
    </xf>
    <xf numFmtId="38" fontId="17" fillId="0" borderId="6" xfId="54" applyNumberFormat="1" applyFont="1" applyBorder="1" applyAlignment="1">
      <alignment horizontal="right"/>
    </xf>
    <xf numFmtId="38" fontId="18" fillId="0" borderId="4" xfId="54" applyNumberFormat="1" applyFont="1" applyFill="1" applyBorder="1" applyAlignment="1" applyProtection="1">
      <alignment horizontal="right"/>
    </xf>
    <xf numFmtId="38" fontId="31" fillId="11" borderId="8" xfId="54" applyNumberFormat="1" applyFont="1" applyFill="1" applyBorder="1" applyAlignment="1">
      <alignment horizontal="right"/>
    </xf>
    <xf numFmtId="38" fontId="18" fillId="11" borderId="8" xfId="54" applyNumberFormat="1" applyFont="1" applyFill="1" applyBorder="1" applyAlignment="1">
      <alignment horizontal="right"/>
    </xf>
    <xf numFmtId="38" fontId="31" fillId="2" borderId="8" xfId="54" applyNumberFormat="1" applyFont="1" applyFill="1" applyBorder="1" applyAlignment="1">
      <alignment horizontal="right"/>
    </xf>
    <xf numFmtId="38" fontId="17" fillId="0" borderId="2" xfId="54" applyNumberFormat="1" applyFont="1" applyBorder="1"/>
    <xf numFmtId="38" fontId="18" fillId="0" borderId="25" xfId="54" applyNumberFormat="1" applyFont="1" applyFill="1" applyBorder="1" applyAlignment="1">
      <alignment horizontal="right"/>
    </xf>
    <xf numFmtId="38" fontId="18" fillId="0" borderId="25" xfId="54" applyNumberFormat="1" applyFont="1" applyFill="1" applyBorder="1" applyAlignment="1" applyProtection="1">
      <alignment horizontal="right"/>
    </xf>
    <xf numFmtId="38" fontId="18" fillId="0" borderId="25" xfId="54" applyNumberFormat="1" applyFont="1" applyFill="1" applyBorder="1"/>
    <xf numFmtId="38" fontId="17" fillId="2" borderId="2" xfId="54" applyNumberFormat="1" applyFont="1" applyFill="1" applyBorder="1" applyAlignment="1" applyProtection="1">
      <alignment horizontal="right"/>
    </xf>
    <xf numFmtId="3" fontId="34" fillId="0" borderId="56" xfId="0" applyNumberFormat="1" applyFont="1" applyBorder="1" applyAlignment="1">
      <alignment horizontal="right" vertical="center" wrapText="1"/>
    </xf>
    <xf numFmtId="0" fontId="35" fillId="20" borderId="51" xfId="0" applyFont="1" applyFill="1" applyBorder="1" applyAlignment="1">
      <alignment vertical="center" wrapText="1"/>
    </xf>
    <xf numFmtId="38" fontId="0" fillId="0" borderId="0" xfId="0" applyNumberFormat="1"/>
    <xf numFmtId="0" fontId="18" fillId="11" borderId="11" xfId="0" applyFont="1" applyFill="1" applyBorder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18" fillId="11" borderId="8" xfId="0" applyFont="1" applyFill="1" applyBorder="1" applyAlignment="1">
      <alignment horizontal="center" vertical="center" wrapText="1"/>
    </xf>
    <xf numFmtId="0" fontId="8" fillId="7" borderId="11" xfId="2" applyFont="1" applyFill="1" applyBorder="1" applyAlignment="1">
      <alignment horizontal="center" vertical="center" wrapText="1"/>
    </xf>
    <xf numFmtId="0" fontId="8" fillId="7" borderId="29" xfId="2" applyFont="1" applyFill="1" applyBorder="1" applyAlignment="1">
      <alignment horizontal="center" vertical="center" wrapText="1"/>
    </xf>
    <xf numFmtId="0" fontId="18" fillId="11" borderId="11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33" fillId="19" borderId="55" xfId="0" applyFont="1" applyFill="1" applyBorder="1" applyAlignment="1">
      <alignment horizontal="center" vertical="center" wrapText="1"/>
    </xf>
    <xf numFmtId="0" fontId="33" fillId="19" borderId="50" xfId="0" applyFont="1" applyFill="1" applyBorder="1" applyAlignment="1">
      <alignment horizontal="center" vertical="center" wrapText="1"/>
    </xf>
    <xf numFmtId="37" fontId="8" fillId="4" borderId="8" xfId="2" applyNumberFormat="1" applyFont="1" applyFill="1" applyBorder="1" applyAlignment="1">
      <alignment horizontal="center" vertical="center"/>
    </xf>
    <xf numFmtId="37" fontId="9" fillId="4" borderId="8" xfId="2" applyNumberFormat="1" applyFont="1" applyFill="1" applyBorder="1" applyAlignment="1">
      <alignment horizontal="center" vertical="center" textRotation="1"/>
    </xf>
    <xf numFmtId="0" fontId="8" fillId="7" borderId="11" xfId="2" applyFont="1" applyFill="1" applyBorder="1" applyAlignment="1">
      <alignment horizontal="center" vertical="center"/>
    </xf>
    <xf numFmtId="0" fontId="8" fillId="7" borderId="10" xfId="2" applyFont="1" applyFill="1" applyBorder="1" applyAlignment="1">
      <alignment horizontal="center" vertical="center"/>
    </xf>
    <xf numFmtId="0" fontId="8" fillId="7" borderId="29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0" fontId="8" fillId="4" borderId="2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 wrapText="1"/>
    </xf>
    <xf numFmtId="0" fontId="8" fillId="4" borderId="29" xfId="2" applyFont="1" applyFill="1" applyBorder="1" applyAlignment="1">
      <alignment horizontal="center" vertical="center" wrapText="1"/>
    </xf>
    <xf numFmtId="0" fontId="8" fillId="4" borderId="10" xfId="2" applyFont="1" applyFill="1" applyBorder="1" applyAlignment="1">
      <alignment horizontal="center" vertical="center" wrapText="1"/>
    </xf>
    <xf numFmtId="0" fontId="8" fillId="11" borderId="11" xfId="2" applyFont="1" applyFill="1" applyBorder="1" applyAlignment="1">
      <alignment horizontal="center" vertical="center" wrapText="1"/>
    </xf>
    <xf numFmtId="0" fontId="8" fillId="11" borderId="29" xfId="2" applyFont="1" applyFill="1" applyBorder="1" applyAlignment="1">
      <alignment horizontal="center" vertical="center" wrapText="1"/>
    </xf>
    <xf numFmtId="0" fontId="8" fillId="11" borderId="11" xfId="2" applyFont="1" applyFill="1" applyBorder="1" applyAlignment="1">
      <alignment horizontal="center" vertical="center"/>
    </xf>
    <xf numFmtId="0" fontId="8" fillId="11" borderId="10" xfId="2" applyFont="1" applyFill="1" applyBorder="1" applyAlignment="1">
      <alignment horizontal="center" vertical="center"/>
    </xf>
    <xf numFmtId="0" fontId="8" fillId="11" borderId="29" xfId="2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 wrapText="1"/>
    </xf>
    <xf numFmtId="0" fontId="8" fillId="4" borderId="11" xfId="2" applyFont="1" applyFill="1" applyBorder="1" applyAlignment="1">
      <alignment horizontal="center"/>
    </xf>
    <xf numFmtId="0" fontId="8" fillId="4" borderId="29" xfId="2" applyFont="1" applyFill="1" applyBorder="1" applyAlignment="1">
      <alignment horizontal="center"/>
    </xf>
    <xf numFmtId="0" fontId="8" fillId="4" borderId="10" xfId="2" applyFont="1" applyFill="1" applyBorder="1" applyAlignment="1">
      <alignment horizontal="center"/>
    </xf>
    <xf numFmtId="0" fontId="8" fillId="7" borderId="11" xfId="2" applyFont="1" applyFill="1" applyBorder="1" applyAlignment="1">
      <alignment horizontal="center"/>
    </xf>
    <xf numFmtId="0" fontId="8" fillId="7" borderId="29" xfId="2" applyFont="1" applyFill="1" applyBorder="1" applyAlignment="1">
      <alignment horizontal="center"/>
    </xf>
    <xf numFmtId="37" fontId="8" fillId="4" borderId="25" xfId="2" applyNumberFormat="1" applyFont="1" applyFill="1" applyBorder="1" applyAlignment="1">
      <alignment horizontal="center" vertical="center"/>
    </xf>
    <xf numFmtId="37" fontId="8" fillId="4" borderId="5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>
      <alignment horizontal="center" vertical="center" wrapText="1"/>
    </xf>
    <xf numFmtId="0" fontId="8" fillId="9" borderId="10" xfId="2" applyFont="1" applyFill="1" applyBorder="1" applyAlignment="1">
      <alignment horizontal="center" vertical="center" wrapText="1"/>
    </xf>
    <xf numFmtId="0" fontId="8" fillId="9" borderId="29" xfId="2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11" borderId="10" xfId="2" applyFont="1" applyFill="1" applyBorder="1" applyAlignment="1">
      <alignment horizontal="center" vertical="center" wrapText="1"/>
    </xf>
    <xf numFmtId="37" fontId="3" fillId="4" borderId="25" xfId="2" applyNumberFormat="1" applyFont="1" applyFill="1" applyBorder="1" applyAlignment="1">
      <alignment horizontal="center" vertical="center"/>
    </xf>
    <xf numFmtId="37" fontId="3" fillId="4" borderId="5" xfId="2" applyNumberFormat="1" applyFont="1" applyFill="1" applyBorder="1" applyAlignment="1">
      <alignment horizontal="center" vertical="center"/>
    </xf>
    <xf numFmtId="0" fontId="8" fillId="7" borderId="10" xfId="2" applyFont="1" applyFill="1" applyBorder="1" applyAlignment="1">
      <alignment horizontal="center" vertical="center" wrapText="1"/>
    </xf>
    <xf numFmtId="37" fontId="8" fillId="4" borderId="7" xfId="2" applyNumberFormat="1" applyFont="1" applyFill="1" applyBorder="1" applyAlignment="1">
      <alignment horizontal="center" vertical="center"/>
    </xf>
    <xf numFmtId="37" fontId="9" fillId="4" borderId="6" xfId="2" applyNumberFormat="1" applyFont="1" applyFill="1" applyBorder="1" applyAlignment="1">
      <alignment horizontal="center" vertical="center" textRotation="1"/>
    </xf>
    <xf numFmtId="0" fontId="8" fillId="14" borderId="29" xfId="0" applyFont="1" applyFill="1" applyBorder="1" applyAlignment="1">
      <alignment horizontal="center" vertical="center" wrapText="1"/>
    </xf>
    <xf numFmtId="37" fontId="18" fillId="4" borderId="25" xfId="2" applyNumberFormat="1" applyFont="1" applyFill="1" applyBorder="1" applyAlignment="1">
      <alignment horizontal="center" vertical="center"/>
    </xf>
    <xf numFmtId="37" fontId="18" fillId="4" borderId="5" xfId="2" applyNumberFormat="1" applyFont="1" applyFill="1" applyBorder="1" applyAlignment="1">
      <alignment horizontal="center" vertical="center"/>
    </xf>
    <xf numFmtId="37" fontId="22" fillId="4" borderId="11" xfId="2" applyNumberFormat="1" applyFont="1" applyFill="1" applyBorder="1" applyAlignment="1">
      <alignment horizontal="center"/>
    </xf>
    <xf numFmtId="37" fontId="22" fillId="4" borderId="29" xfId="2" applyNumberFormat="1" applyFont="1" applyFill="1" applyBorder="1" applyAlignment="1">
      <alignment horizontal="center"/>
    </xf>
    <xf numFmtId="37" fontId="22" fillId="4" borderId="10" xfId="2" applyNumberFormat="1" applyFont="1" applyFill="1" applyBorder="1" applyAlignment="1">
      <alignment horizontal="center"/>
    </xf>
    <xf numFmtId="37" fontId="22" fillId="10" borderId="11" xfId="2" applyNumberFormat="1" applyFont="1" applyFill="1" applyBorder="1" applyAlignment="1">
      <alignment horizontal="center"/>
    </xf>
    <xf numFmtId="37" fontId="22" fillId="10" borderId="29" xfId="2" applyNumberFormat="1" applyFont="1" applyFill="1" applyBorder="1" applyAlignment="1">
      <alignment horizontal="center"/>
    </xf>
    <xf numFmtId="37" fontId="22" fillId="11" borderId="11" xfId="2" applyNumberFormat="1" applyFont="1" applyFill="1" applyBorder="1" applyAlignment="1">
      <alignment horizontal="center"/>
    </xf>
    <xf numFmtId="37" fontId="22" fillId="11" borderId="10" xfId="2" applyNumberFormat="1" applyFont="1" applyFill="1" applyBorder="1" applyAlignment="1">
      <alignment horizontal="center"/>
    </xf>
    <xf numFmtId="37" fontId="22" fillId="11" borderId="29" xfId="2" applyNumberFormat="1" applyFont="1" applyFill="1" applyBorder="1" applyAlignment="1">
      <alignment horizontal="center"/>
    </xf>
    <xf numFmtId="37" fontId="22" fillId="11" borderId="11" xfId="0" applyNumberFormat="1" applyFont="1" applyFill="1" applyBorder="1" applyAlignment="1">
      <alignment horizontal="center"/>
    </xf>
    <xf numFmtId="37" fontId="22" fillId="11" borderId="29" xfId="0" applyNumberFormat="1" applyFont="1" applyFill="1" applyBorder="1" applyAlignment="1">
      <alignment horizontal="center"/>
    </xf>
    <xf numFmtId="37" fontId="22" fillId="11" borderId="10" xfId="0" applyNumberFormat="1" applyFont="1" applyFill="1" applyBorder="1" applyAlignment="1">
      <alignment horizontal="center"/>
    </xf>
    <xf numFmtId="37" fontId="34" fillId="2" borderId="0" xfId="0" applyNumberFormat="1" applyFont="1" applyFill="1" applyAlignment="1">
      <alignment vertical="center"/>
    </xf>
    <xf numFmtId="0" fontId="0" fillId="0" borderId="0" xfId="0" applyBorder="1"/>
    <xf numFmtId="0" fontId="18" fillId="11" borderId="9" xfId="0" applyFont="1" applyFill="1" applyBorder="1" applyAlignment="1">
      <alignment horizontal="center" vertical="center" wrapText="1"/>
    </xf>
    <xf numFmtId="0" fontId="18" fillId="11" borderId="9" xfId="0" applyFont="1" applyFill="1" applyBorder="1" applyAlignment="1">
      <alignment horizontal="center"/>
    </xf>
    <xf numFmtId="0" fontId="0" fillId="0" borderId="9" xfId="0" applyBorder="1"/>
    <xf numFmtId="38" fontId="17" fillId="0" borderId="9" xfId="46" applyNumberFormat="1" applyFont="1" applyFill="1" applyBorder="1" applyAlignment="1" applyProtection="1">
      <alignment horizontal="right"/>
    </xf>
    <xf numFmtId="37" fontId="34" fillId="2" borderId="9" xfId="0" applyNumberFormat="1" applyFont="1" applyFill="1" applyBorder="1" applyAlignment="1">
      <alignment vertical="center"/>
    </xf>
    <xf numFmtId="164" fontId="18" fillId="0" borderId="9" xfId="1" applyNumberFormat="1" applyFont="1" applyFill="1" applyBorder="1"/>
    <xf numFmtId="166" fontId="25" fillId="18" borderId="9" xfId="0" applyNumberFormat="1" applyFont="1" applyFill="1" applyBorder="1" applyAlignment="1">
      <alignment horizontal="right"/>
    </xf>
    <xf numFmtId="166" fontId="25" fillId="2" borderId="9" xfId="0" applyNumberFormat="1" applyFont="1" applyFill="1" applyBorder="1" applyAlignment="1">
      <alignment horizontal="right"/>
    </xf>
    <xf numFmtId="38" fontId="17" fillId="2" borderId="9" xfId="46" applyNumberFormat="1" applyFont="1" applyFill="1" applyBorder="1" applyAlignment="1" applyProtection="1">
      <alignment horizontal="right"/>
    </xf>
    <xf numFmtId="38" fontId="17" fillId="0" borderId="9" xfId="46" applyNumberFormat="1" applyFont="1" applyBorder="1" applyAlignment="1">
      <alignment horizontal="right"/>
    </xf>
    <xf numFmtId="166" fontId="25" fillId="11" borderId="9" xfId="0" applyNumberFormat="1" applyFont="1" applyFill="1" applyBorder="1" applyAlignment="1">
      <alignment horizontal="right"/>
    </xf>
    <xf numFmtId="37" fontId="0" fillId="0" borderId="9" xfId="0" applyNumberFormat="1" applyBorder="1"/>
    <xf numFmtId="37" fontId="36" fillId="17" borderId="9" xfId="0" applyNumberFormat="1" applyFont="1" applyFill="1" applyBorder="1" applyAlignment="1">
      <alignment vertical="center"/>
    </xf>
    <xf numFmtId="0" fontId="0" fillId="0" borderId="46" xfId="0" applyBorder="1"/>
    <xf numFmtId="3" fontId="0" fillId="0" borderId="0" xfId="0" applyNumberFormat="1"/>
    <xf numFmtId="3" fontId="32" fillId="0" borderId="52" xfId="0" applyNumberFormat="1" applyFont="1" applyBorder="1" applyAlignment="1">
      <alignment horizontal="right" vertical="center" wrapText="1"/>
    </xf>
    <xf numFmtId="3" fontId="32" fillId="0" borderId="51" xfId="0" applyNumberFormat="1" applyFont="1" applyBorder="1" applyAlignment="1">
      <alignment horizontal="right" vertical="center" wrapText="1"/>
    </xf>
    <xf numFmtId="0" fontId="35" fillId="0" borderId="51" xfId="0" applyFont="1" applyBorder="1" applyAlignment="1">
      <alignment vertical="center" wrapText="1"/>
    </xf>
    <xf numFmtId="166" fontId="0" fillId="0" borderId="0" xfId="0" applyNumberFormat="1"/>
    <xf numFmtId="37" fontId="8" fillId="4" borderId="9" xfId="2" applyNumberFormat="1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/>
    </xf>
    <xf numFmtId="0" fontId="8" fillId="7" borderId="9" xfId="2" applyFont="1" applyFill="1" applyBorder="1" applyAlignment="1">
      <alignment horizontal="center"/>
    </xf>
    <xf numFmtId="0" fontId="8" fillId="11" borderId="9" xfId="2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/>
    </xf>
    <xf numFmtId="37" fontId="9" fillId="4" borderId="9" xfId="2" applyNumberFormat="1" applyFont="1" applyFill="1" applyBorder="1" applyAlignment="1">
      <alignment horizontal="center" vertical="center" textRotation="1"/>
    </xf>
    <xf numFmtId="0" fontId="8" fillId="4" borderId="9" xfId="2" applyFont="1" applyFill="1" applyBorder="1" applyAlignment="1">
      <alignment horizontal="center"/>
    </xf>
    <xf numFmtId="0" fontId="8" fillId="7" borderId="9" xfId="2" applyFont="1" applyFill="1" applyBorder="1" applyAlignment="1">
      <alignment horizontal="center"/>
    </xf>
    <xf numFmtId="0" fontId="8" fillId="11" borderId="9" xfId="2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37" fontId="9" fillId="0" borderId="9" xfId="2" applyNumberFormat="1" applyFont="1" applyBorder="1" applyAlignment="1">
      <alignment horizontal="left"/>
    </xf>
    <xf numFmtId="166" fontId="9" fillId="0" borderId="9" xfId="0" applyNumberFormat="1" applyFont="1" applyBorder="1" applyAlignment="1">
      <alignment horizontal="right"/>
    </xf>
    <xf numFmtId="164" fontId="17" fillId="0" borderId="9" xfId="38" applyNumberFormat="1" applyFont="1" applyFill="1" applyBorder="1"/>
    <xf numFmtId="164" fontId="17" fillId="0" borderId="9" xfId="1" applyNumberFormat="1" applyFont="1" applyFill="1" applyBorder="1"/>
    <xf numFmtId="3" fontId="34" fillId="20" borderId="9" xfId="0" applyNumberFormat="1" applyFont="1" applyFill="1" applyBorder="1" applyAlignment="1">
      <alignment horizontal="right" vertical="center" wrapText="1"/>
    </xf>
    <xf numFmtId="3" fontId="32" fillId="0" borderId="9" xfId="0" applyNumberFormat="1" applyFont="1" applyBorder="1" applyAlignment="1">
      <alignment horizontal="right" vertical="center" wrapText="1"/>
    </xf>
    <xf numFmtId="37" fontId="8" fillId="0" borderId="9" xfId="2" applyNumberFormat="1" applyFont="1" applyBorder="1" applyAlignment="1">
      <alignment horizontal="left"/>
    </xf>
    <xf numFmtId="37" fontId="9" fillId="0" borderId="9" xfId="2" quotePrefix="1" applyNumberFormat="1" applyFont="1" applyBorder="1" applyAlignment="1">
      <alignment horizontal="left"/>
    </xf>
    <xf numFmtId="37" fontId="34" fillId="2" borderId="9" xfId="46" applyNumberFormat="1" applyFont="1" applyFill="1" applyBorder="1" applyAlignment="1">
      <alignment vertical="center"/>
    </xf>
    <xf numFmtId="37" fontId="34" fillId="2" borderId="9" xfId="13" applyNumberFormat="1" applyFont="1" applyFill="1" applyBorder="1" applyAlignment="1">
      <alignment vertical="center"/>
    </xf>
    <xf numFmtId="3" fontId="33" fillId="19" borderId="9" xfId="0" applyNumberFormat="1" applyFont="1" applyFill="1" applyBorder="1" applyAlignment="1">
      <alignment horizontal="center" vertical="center" wrapText="1"/>
    </xf>
    <xf numFmtId="0" fontId="35" fillId="0" borderId="9" xfId="0" applyFont="1" applyBorder="1" applyAlignment="1">
      <alignment vertical="center" wrapText="1"/>
    </xf>
    <xf numFmtId="3" fontId="34" fillId="0" borderId="9" xfId="0" applyNumberFormat="1" applyFont="1" applyBorder="1" applyAlignment="1">
      <alignment horizontal="right" vertical="center" wrapText="1"/>
    </xf>
    <xf numFmtId="37" fontId="8" fillId="4" borderId="9" xfId="2" quotePrefix="1" applyNumberFormat="1" applyFont="1" applyFill="1" applyBorder="1" applyAlignment="1">
      <alignment horizontal="left"/>
    </xf>
    <xf numFmtId="37" fontId="8" fillId="3" borderId="9" xfId="2" quotePrefix="1" applyNumberFormat="1" applyFont="1" applyFill="1" applyBorder="1" applyAlignment="1">
      <alignment horizontal="left"/>
    </xf>
    <xf numFmtId="41" fontId="9" fillId="0" borderId="9" xfId="2" applyNumberFormat="1" applyFont="1" applyFill="1" applyBorder="1" applyAlignment="1">
      <alignment horizontal="right"/>
    </xf>
    <xf numFmtId="166" fontId="9" fillId="0" borderId="9" xfId="0" applyNumberFormat="1" applyFont="1" applyFill="1" applyBorder="1" applyAlignment="1">
      <alignment horizontal="right"/>
    </xf>
    <xf numFmtId="37" fontId="34" fillId="0" borderId="9" xfId="0" applyNumberFormat="1" applyFont="1" applyFill="1" applyBorder="1" applyAlignment="1">
      <alignment vertical="center"/>
    </xf>
    <xf numFmtId="3" fontId="34" fillId="0" borderId="9" xfId="0" applyNumberFormat="1" applyFont="1" applyFill="1" applyBorder="1" applyAlignment="1">
      <alignment horizontal="right" vertical="center" wrapText="1"/>
    </xf>
    <xf numFmtId="3" fontId="32" fillId="0" borderId="9" xfId="0" applyNumberFormat="1" applyFont="1" applyFill="1" applyBorder="1" applyAlignment="1">
      <alignment horizontal="right" vertical="center" wrapText="1"/>
    </xf>
    <xf numFmtId="0" fontId="0" fillId="0" borderId="9" xfId="0" applyFill="1" applyBorder="1"/>
    <xf numFmtId="41" fontId="10" fillId="0" borderId="9" xfId="2" applyNumberFormat="1" applyFont="1" applyFill="1" applyBorder="1" applyAlignment="1">
      <alignment horizontal="right"/>
    </xf>
    <xf numFmtId="166" fontId="10" fillId="0" borderId="9" xfId="0" applyNumberFormat="1" applyFont="1" applyFill="1" applyBorder="1" applyAlignment="1">
      <alignment horizontal="right"/>
    </xf>
    <xf numFmtId="37" fontId="34" fillId="0" borderId="9" xfId="46" applyNumberFormat="1" applyFont="1" applyFill="1" applyBorder="1" applyAlignment="1">
      <alignment vertical="center"/>
    </xf>
    <xf numFmtId="37" fontId="34" fillId="0" borderId="9" xfId="13" applyNumberFormat="1" applyFont="1" applyFill="1" applyBorder="1" applyAlignment="1">
      <alignment vertical="center"/>
    </xf>
    <xf numFmtId="38" fontId="17" fillId="0" borderId="9" xfId="46" applyNumberFormat="1" applyFont="1" applyFill="1" applyBorder="1" applyAlignment="1">
      <alignment horizontal="right"/>
    </xf>
    <xf numFmtId="37" fontId="0" fillId="0" borderId="9" xfId="0" applyNumberFormat="1" applyFill="1" applyBorder="1"/>
    <xf numFmtId="0" fontId="35" fillId="0" borderId="9" xfId="0" applyFont="1" applyFill="1" applyBorder="1" applyAlignment="1">
      <alignment vertical="center" wrapText="1"/>
    </xf>
    <xf numFmtId="166" fontId="24" fillId="0" borderId="9" xfId="0" applyNumberFormat="1" applyFont="1" applyFill="1" applyBorder="1" applyAlignment="1">
      <alignment horizontal="right"/>
    </xf>
    <xf numFmtId="41" fontId="24" fillId="0" borderId="9" xfId="2" applyNumberFormat="1" applyFont="1" applyFill="1" applyBorder="1" applyAlignment="1">
      <alignment horizontal="right"/>
    </xf>
    <xf numFmtId="166" fontId="8" fillId="0" borderId="9" xfId="0" applyNumberFormat="1" applyFont="1" applyFill="1" applyBorder="1" applyAlignment="1">
      <alignment horizontal="right"/>
    </xf>
    <xf numFmtId="166" fontId="25" fillId="0" borderId="9" xfId="0" applyNumberFormat="1" applyFont="1" applyFill="1" applyBorder="1" applyAlignment="1">
      <alignment horizontal="right"/>
    </xf>
    <xf numFmtId="41" fontId="8" fillId="0" borderId="9" xfId="2" applyNumberFormat="1" applyFont="1" applyFill="1" applyBorder="1" applyAlignment="1" applyProtection="1">
      <alignment horizontal="right"/>
      <protection locked="0"/>
    </xf>
    <xf numFmtId="41" fontId="24" fillId="0" borderId="9" xfId="2" applyNumberFormat="1" applyFont="1" applyFill="1" applyBorder="1" applyAlignment="1" applyProtection="1">
      <alignment horizontal="right"/>
      <protection locked="0"/>
    </xf>
    <xf numFmtId="166" fontId="24" fillId="0" borderId="9" xfId="0" applyNumberFormat="1" applyFont="1" applyFill="1" applyBorder="1" applyAlignment="1" applyProtection="1">
      <alignment horizontal="right"/>
      <protection locked="0"/>
    </xf>
    <xf numFmtId="38" fontId="31" fillId="0" borderId="9" xfId="46" applyNumberFormat="1" applyFont="1" applyFill="1" applyBorder="1" applyAlignment="1">
      <alignment horizontal="right"/>
    </xf>
    <xf numFmtId="3" fontId="0" fillId="0" borderId="0" xfId="0" applyNumberFormat="1" applyBorder="1"/>
    <xf numFmtId="3" fontId="32" fillId="0" borderId="0" xfId="0" applyNumberFormat="1" applyFont="1" applyBorder="1" applyAlignment="1">
      <alignment horizontal="right" vertical="center" wrapText="1"/>
    </xf>
    <xf numFmtId="0" fontId="8" fillId="11" borderId="59" xfId="2" applyFont="1" applyFill="1" applyBorder="1" applyAlignment="1">
      <alignment horizontal="center"/>
    </xf>
    <xf numFmtId="37" fontId="5" fillId="2" borderId="60" xfId="2" applyNumberFormat="1" applyFont="1" applyFill="1" applyBorder="1" applyAlignment="1">
      <alignment horizontal="center"/>
    </xf>
    <xf numFmtId="41" fontId="5" fillId="2" borderId="46" xfId="2" applyNumberFormat="1" applyFont="1" applyFill="1" applyBorder="1" applyAlignment="1">
      <alignment horizontal="left"/>
    </xf>
    <xf numFmtId="41" fontId="9" fillId="2" borderId="46" xfId="2" applyNumberFormat="1" applyFont="1" applyFill="1" applyBorder="1" applyAlignment="1">
      <alignment horizontal="right"/>
    </xf>
    <xf numFmtId="41" fontId="9" fillId="2" borderId="14" xfId="2" applyNumberFormat="1" applyFont="1" applyFill="1" applyBorder="1" applyAlignment="1">
      <alignment horizontal="right"/>
    </xf>
    <xf numFmtId="41" fontId="10" fillId="2" borderId="45" xfId="2" applyNumberFormat="1" applyFont="1" applyFill="1" applyBorder="1" applyAlignment="1">
      <alignment horizontal="right"/>
    </xf>
    <xf numFmtId="41" fontId="8" fillId="2" borderId="48" xfId="2" applyNumberFormat="1" applyFont="1" applyFill="1" applyBorder="1" applyAlignment="1">
      <alignment horizontal="right"/>
    </xf>
    <xf numFmtId="41" fontId="9" fillId="2" borderId="47" xfId="2" applyNumberFormat="1" applyFont="1" applyFill="1" applyBorder="1" applyAlignment="1">
      <alignment horizontal="right"/>
    </xf>
    <xf numFmtId="41" fontId="8" fillId="12" borderId="45" xfId="2" applyNumberFormat="1" applyFont="1" applyFill="1" applyBorder="1" applyAlignment="1">
      <alignment horizontal="right"/>
    </xf>
    <xf numFmtId="41" fontId="9" fillId="2" borderId="48" xfId="2" applyNumberFormat="1" applyFont="1" applyFill="1" applyBorder="1" applyAlignment="1">
      <alignment horizontal="right"/>
    </xf>
    <xf numFmtId="41" fontId="8" fillId="2" borderId="46" xfId="2" applyNumberFormat="1" applyFont="1" applyFill="1" applyBorder="1" applyAlignment="1">
      <alignment horizontal="right"/>
    </xf>
    <xf numFmtId="41" fontId="10" fillId="2" borderId="11" xfId="2" applyNumberFormat="1" applyFont="1" applyFill="1" applyBorder="1" applyAlignment="1">
      <alignment horizontal="right"/>
    </xf>
    <xf numFmtId="41" fontId="9" fillId="2" borderId="13" xfId="2" applyNumberFormat="1" applyFont="1" applyFill="1" applyBorder="1" applyAlignment="1">
      <alignment horizontal="right"/>
    </xf>
    <xf numFmtId="41" fontId="10" fillId="11" borderId="12" xfId="2" applyNumberFormat="1" applyFont="1" applyFill="1" applyBorder="1" applyAlignment="1">
      <alignment horizontal="right"/>
    </xf>
    <xf numFmtId="41" fontId="8" fillId="12" borderId="58" xfId="2" applyNumberFormat="1" applyFont="1" applyFill="1" applyBorder="1" applyAlignment="1" applyProtection="1">
      <alignment horizontal="right"/>
      <protection locked="0"/>
    </xf>
    <xf numFmtId="0" fontId="8" fillId="14" borderId="9" xfId="0" applyFont="1" applyFill="1" applyBorder="1" applyAlignment="1">
      <alignment horizontal="center" vertical="center" wrapText="1"/>
    </xf>
    <xf numFmtId="0" fontId="8" fillId="14" borderId="46" xfId="0" applyFont="1" applyFill="1" applyBorder="1" applyAlignment="1">
      <alignment horizontal="center" vertical="center" wrapText="1"/>
    </xf>
    <xf numFmtId="0" fontId="8" fillId="11" borderId="46" xfId="2" applyFont="1" applyFill="1" applyBorder="1" applyAlignment="1">
      <alignment horizontal="center"/>
    </xf>
    <xf numFmtId="166" fontId="9" fillId="0" borderId="46" xfId="0" applyNumberFormat="1" applyFont="1" applyBorder="1" applyAlignment="1">
      <alignment horizontal="right"/>
    </xf>
    <xf numFmtId="0" fontId="18" fillId="11" borderId="9" xfId="0" applyFont="1" applyFill="1" applyBorder="1" applyAlignment="1">
      <alignment horizontal="center" vertical="center"/>
    </xf>
    <xf numFmtId="38" fontId="17" fillId="0" borderId="9" xfId="46" applyNumberFormat="1" applyFont="1" applyFill="1" applyBorder="1"/>
    <xf numFmtId="38" fontId="18" fillId="0" borderId="9" xfId="46" applyNumberFormat="1" applyFont="1" applyFill="1" applyBorder="1" applyAlignment="1">
      <alignment horizontal="right"/>
    </xf>
    <xf numFmtId="38" fontId="17" fillId="2" borderId="9" xfId="46" applyNumberFormat="1" applyFont="1" applyFill="1" applyBorder="1" applyAlignment="1">
      <alignment horizontal="right"/>
    </xf>
    <xf numFmtId="38" fontId="30" fillId="0" borderId="9" xfId="46" applyNumberFormat="1" applyFont="1" applyFill="1" applyBorder="1" applyAlignment="1">
      <alignment horizontal="right"/>
    </xf>
    <xf numFmtId="38" fontId="17" fillId="0" borderId="9" xfId="46" applyNumberFormat="1" applyFont="1" applyBorder="1"/>
    <xf numFmtId="38" fontId="18" fillId="11" borderId="9" xfId="46" applyNumberFormat="1" applyFont="1" applyFill="1" applyBorder="1" applyAlignment="1">
      <alignment horizontal="right"/>
    </xf>
    <xf numFmtId="38" fontId="31" fillId="11" borderId="9" xfId="46" applyNumberFormat="1" applyFont="1" applyFill="1" applyBorder="1" applyAlignment="1">
      <alignment horizontal="right"/>
    </xf>
    <xf numFmtId="38" fontId="18" fillId="11" borderId="9" xfId="46" applyNumberFormat="1" applyFont="1" applyFill="1" applyBorder="1" applyAlignment="1" applyProtection="1">
      <alignment horizontal="right"/>
    </xf>
    <xf numFmtId="38" fontId="18" fillId="11" borderId="9" xfId="46" applyNumberFormat="1" applyFont="1" applyFill="1" applyBorder="1"/>
    <xf numFmtId="38" fontId="18" fillId="2" borderId="9" xfId="46" applyNumberFormat="1" applyFont="1" applyFill="1" applyBorder="1" applyAlignment="1">
      <alignment horizontal="right"/>
    </xf>
    <xf numFmtId="38" fontId="18" fillId="2" borderId="9" xfId="46" applyNumberFormat="1" applyFont="1" applyFill="1" applyBorder="1" applyAlignment="1" applyProtection="1">
      <alignment horizontal="right"/>
    </xf>
    <xf numFmtId="38" fontId="18" fillId="2" borderId="9" xfId="46" applyNumberFormat="1" applyFont="1" applyFill="1" applyBorder="1"/>
    <xf numFmtId="37" fontId="36" fillId="21" borderId="9" xfId="0" applyNumberFormat="1" applyFont="1" applyFill="1" applyBorder="1" applyAlignment="1">
      <alignment horizontal="center" vertical="center" wrapText="1"/>
    </xf>
    <xf numFmtId="37" fontId="36" fillId="21" borderId="46" xfId="0" applyNumberFormat="1" applyFont="1" applyFill="1" applyBorder="1" applyAlignment="1">
      <alignment horizontal="center" vertical="center" wrapText="1"/>
    </xf>
    <xf numFmtId="37" fontId="36" fillId="21" borderId="9" xfId="0" applyNumberFormat="1" applyFont="1" applyFill="1" applyBorder="1" applyAlignment="1">
      <alignment horizontal="center" vertical="center"/>
    </xf>
    <xf numFmtId="37" fontId="36" fillId="17" borderId="9" xfId="13" applyNumberFormat="1" applyFont="1" applyFill="1" applyBorder="1" applyAlignment="1" applyProtection="1">
      <alignment vertical="center"/>
    </xf>
    <xf numFmtId="37" fontId="34" fillId="2" borderId="9" xfId="46" applyNumberFormat="1" applyFont="1" applyFill="1" applyBorder="1" applyAlignment="1" applyProtection="1">
      <alignment vertical="center"/>
    </xf>
    <xf numFmtId="37" fontId="34" fillId="2" borderId="9" xfId="13" applyNumberFormat="1" applyFont="1" applyFill="1" applyBorder="1" applyAlignment="1" applyProtection="1">
      <alignment vertical="center"/>
    </xf>
    <xf numFmtId="37" fontId="34" fillId="2" borderId="9" xfId="2" applyNumberFormat="1" applyFont="1" applyFill="1" applyBorder="1" applyAlignment="1">
      <alignment vertical="center"/>
    </xf>
    <xf numFmtId="0" fontId="33" fillId="19" borderId="61" xfId="0" applyFont="1" applyFill="1" applyBorder="1" applyAlignment="1">
      <alignment horizontal="center" vertical="center" wrapText="1"/>
    </xf>
    <xf numFmtId="0" fontId="35" fillId="0" borderId="54" xfId="0" applyFont="1" applyBorder="1" applyAlignment="1">
      <alignment vertical="center" wrapText="1"/>
    </xf>
    <xf numFmtId="0" fontId="32" fillId="0" borderId="54" xfId="0" applyFont="1" applyBorder="1" applyAlignment="1">
      <alignment horizontal="right" vertical="center" wrapText="1"/>
    </xf>
    <xf numFmtId="3" fontId="34" fillId="20" borderId="54" xfId="0" applyNumberFormat="1" applyFont="1" applyFill="1" applyBorder="1" applyAlignment="1">
      <alignment horizontal="right" vertical="center" wrapText="1"/>
    </xf>
    <xf numFmtId="0" fontId="35" fillId="0" borderId="52" xfId="0" applyFont="1" applyBorder="1" applyAlignment="1">
      <alignment vertical="center" wrapText="1"/>
    </xf>
    <xf numFmtId="0" fontId="35" fillId="20" borderId="54" xfId="0" applyFont="1" applyFill="1" applyBorder="1" applyAlignment="1">
      <alignment vertical="center" wrapText="1"/>
    </xf>
    <xf numFmtId="37" fontId="9" fillId="0" borderId="4" xfId="2" applyNumberFormat="1" applyFont="1" applyBorder="1" applyAlignment="1">
      <alignment horizontal="left"/>
    </xf>
    <xf numFmtId="0" fontId="34" fillId="20" borderId="56" xfId="0" applyFont="1" applyFill="1" applyBorder="1" applyAlignment="1">
      <alignment horizontal="right" vertical="center" wrapText="1"/>
    </xf>
    <xf numFmtId="0" fontId="32" fillId="0" borderId="56" xfId="0" applyFont="1" applyBorder="1" applyAlignment="1">
      <alignment horizontal="right" vertical="center" wrapText="1"/>
    </xf>
    <xf numFmtId="37" fontId="36" fillId="21" borderId="46" xfId="0" applyNumberFormat="1" applyFont="1" applyFill="1" applyBorder="1" applyAlignment="1">
      <alignment horizontal="center" vertical="center"/>
    </xf>
    <xf numFmtId="37" fontId="36" fillId="17" borderId="9" xfId="0" applyNumberFormat="1" applyFont="1" applyFill="1" applyBorder="1" applyAlignment="1">
      <alignment horizontal="center" vertical="center"/>
    </xf>
    <xf numFmtId="174" fontId="36" fillId="17" borderId="9" xfId="0" applyNumberFormat="1" applyFont="1" applyFill="1" applyBorder="1" applyAlignment="1">
      <alignment horizontal="center" vertical="center"/>
    </xf>
    <xf numFmtId="37" fontId="11" fillId="5" borderId="9" xfId="2" applyNumberFormat="1" applyFont="1" applyFill="1" applyBorder="1" applyAlignment="1">
      <alignment horizontal="center" vertical="center"/>
    </xf>
    <xf numFmtId="0" fontId="11" fillId="5" borderId="9" xfId="2" applyFont="1" applyFill="1" applyBorder="1" applyAlignment="1">
      <alignment horizontal="center" vertical="center"/>
    </xf>
    <xf numFmtId="0" fontId="11" fillId="5" borderId="9" xfId="2" applyFont="1" applyFill="1" applyBorder="1" applyAlignment="1">
      <alignment horizontal="center" vertical="center" wrapText="1"/>
    </xf>
    <xf numFmtId="0" fontId="11" fillId="7" borderId="9" xfId="2" applyFont="1" applyFill="1" applyBorder="1" applyAlignment="1">
      <alignment horizontal="center" vertical="center" wrapText="1"/>
    </xf>
    <xf numFmtId="0" fontId="11" fillId="11" borderId="9" xfId="2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 wrapText="1"/>
    </xf>
    <xf numFmtId="164" fontId="18" fillId="11" borderId="9" xfId="0" applyNumberFormat="1" applyFont="1" applyFill="1" applyBorder="1" applyAlignment="1">
      <alignment horizontal="center" vertical="center" wrapText="1"/>
    </xf>
    <xf numFmtId="0" fontId="33" fillId="19" borderId="9" xfId="0" applyFont="1" applyFill="1" applyBorder="1" applyAlignment="1">
      <alignment horizontal="center" vertical="center" wrapText="1"/>
    </xf>
    <xf numFmtId="37" fontId="16" fillId="5" borderId="9" xfId="2" applyNumberFormat="1" applyFont="1" applyFill="1" applyBorder="1" applyAlignment="1">
      <alignment horizontal="center" vertical="center" textRotation="1"/>
    </xf>
    <xf numFmtId="37" fontId="11" fillId="5" borderId="9" xfId="2" applyNumberFormat="1" applyFont="1" applyFill="1" applyBorder="1" applyAlignment="1">
      <alignment horizontal="center"/>
    </xf>
    <xf numFmtId="37" fontId="11" fillId="7" borderId="9" xfId="2" applyNumberFormat="1" applyFont="1" applyFill="1" applyBorder="1" applyAlignment="1">
      <alignment horizontal="center"/>
    </xf>
    <xf numFmtId="165" fontId="11" fillId="11" borderId="9" xfId="2" applyNumberFormat="1" applyFont="1" applyFill="1" applyBorder="1" applyAlignment="1">
      <alignment horizontal="center"/>
    </xf>
    <xf numFmtId="165" fontId="11" fillId="11" borderId="9" xfId="0" applyNumberFormat="1" applyFont="1" applyFill="1" applyBorder="1" applyAlignment="1">
      <alignment horizontal="center"/>
    </xf>
    <xf numFmtId="164" fontId="8" fillId="11" borderId="9" xfId="0" applyNumberFormat="1" applyFont="1" applyFill="1" applyBorder="1" applyAlignment="1">
      <alignment horizontal="center"/>
    </xf>
    <xf numFmtId="0" fontId="33" fillId="19" borderId="9" xfId="0" applyFont="1" applyFill="1" applyBorder="1" applyAlignment="1">
      <alignment horizontal="center" vertical="center" wrapText="1"/>
    </xf>
    <xf numFmtId="166" fontId="17" fillId="2" borderId="9" xfId="0" applyNumberFormat="1" applyFont="1" applyFill="1" applyBorder="1" applyAlignment="1">
      <alignment horizontal="right"/>
    </xf>
    <xf numFmtId="3" fontId="17" fillId="2" borderId="9" xfId="0" applyNumberFormat="1" applyFont="1" applyFill="1" applyBorder="1" applyAlignment="1">
      <alignment horizontal="right"/>
    </xf>
    <xf numFmtId="3" fontId="17" fillId="0" borderId="9" xfId="0" applyNumberFormat="1" applyFont="1" applyBorder="1"/>
    <xf numFmtId="164" fontId="17" fillId="0" borderId="9" xfId="0" applyNumberFormat="1" applyFont="1" applyBorder="1"/>
    <xf numFmtId="164" fontId="17" fillId="2" borderId="9" xfId="0" applyNumberFormat="1" applyFont="1" applyFill="1" applyBorder="1" applyAlignment="1">
      <alignment horizontal="right"/>
    </xf>
    <xf numFmtId="164" fontId="17" fillId="2" borderId="9" xfId="13" applyNumberFormat="1" applyFont="1" applyFill="1" applyBorder="1"/>
    <xf numFmtId="164" fontId="17" fillId="0" borderId="9" xfId="13" applyNumberFormat="1" applyFont="1" applyBorder="1"/>
    <xf numFmtId="37" fontId="34" fillId="2" borderId="9" xfId="0" applyNumberFormat="1" applyFont="1" applyFill="1" applyBorder="1" applyAlignment="1">
      <alignment horizontal="center" vertical="center"/>
    </xf>
    <xf numFmtId="174" fontId="34" fillId="2" borderId="9" xfId="46" applyNumberFormat="1" applyFont="1" applyFill="1" applyBorder="1" applyAlignment="1" applyProtection="1">
      <alignment horizontal="center" vertical="center"/>
    </xf>
    <xf numFmtId="174" fontId="34" fillId="2" borderId="9" xfId="0" applyNumberFormat="1" applyFont="1" applyFill="1" applyBorder="1" applyAlignment="1">
      <alignment horizontal="center" vertical="center"/>
    </xf>
    <xf numFmtId="174" fontId="34" fillId="2" borderId="9" xfId="13" applyNumberFormat="1" applyFont="1" applyFill="1" applyBorder="1" applyAlignment="1" applyProtection="1">
      <alignment horizontal="center" vertical="center"/>
    </xf>
    <xf numFmtId="174" fontId="34" fillId="2" borderId="9" xfId="0" applyNumberFormat="1" applyFont="1" applyFill="1" applyBorder="1" applyAlignment="1">
      <alignment vertical="center"/>
    </xf>
    <xf numFmtId="37" fontId="34" fillId="2" borderId="9" xfId="46" applyNumberFormat="1" applyFont="1" applyFill="1" applyBorder="1" applyAlignment="1">
      <alignment horizontal="center" vertical="center"/>
    </xf>
    <xf numFmtId="37" fontId="34" fillId="2" borderId="9" xfId="46" applyNumberFormat="1" applyFont="1" applyFill="1" applyBorder="1" applyAlignment="1" applyProtection="1">
      <alignment horizontal="center" vertical="center"/>
    </xf>
    <xf numFmtId="174" fontId="34" fillId="2" borderId="9" xfId="13" applyNumberFormat="1" applyFont="1" applyFill="1" applyBorder="1" applyAlignment="1">
      <alignment horizontal="center" vertical="center"/>
    </xf>
    <xf numFmtId="3" fontId="34" fillId="20" borderId="9" xfId="0" applyNumberFormat="1" applyFont="1" applyFill="1" applyBorder="1" applyAlignment="1">
      <alignment horizontal="center" vertical="center" wrapText="1"/>
    </xf>
    <xf numFmtId="0" fontId="35" fillId="20" borderId="9" xfId="0" applyFont="1" applyFill="1" applyBorder="1" applyAlignment="1">
      <alignment vertical="center" wrapText="1"/>
    </xf>
    <xf numFmtId="3" fontId="17" fillId="15" borderId="9" xfId="0" applyNumberFormat="1" applyFont="1" applyFill="1" applyBorder="1"/>
    <xf numFmtId="37" fontId="34" fillId="0" borderId="9" xfId="0" applyNumberFormat="1" applyFont="1" applyBorder="1" applyAlignment="1">
      <alignment horizontal="center" vertical="center"/>
    </xf>
    <xf numFmtId="41" fontId="16" fillId="13" borderId="9" xfId="2" applyNumberFormat="1" applyFont="1" applyFill="1" applyBorder="1" applyAlignment="1">
      <alignment horizontal="right"/>
    </xf>
    <xf numFmtId="166" fontId="16" fillId="0" borderId="9" xfId="0" applyNumberFormat="1" applyFont="1" applyBorder="1" applyAlignment="1">
      <alignment horizontal="right"/>
    </xf>
    <xf numFmtId="41" fontId="16" fillId="0" borderId="9" xfId="2" applyNumberFormat="1" applyFont="1" applyBorder="1" applyAlignment="1">
      <alignment horizontal="right"/>
    </xf>
    <xf numFmtId="166" fontId="15" fillId="2" borderId="9" xfId="0" applyNumberFormat="1" applyFont="1" applyFill="1" applyBorder="1" applyAlignment="1">
      <alignment horizontal="right"/>
    </xf>
    <xf numFmtId="164" fontId="7" fillId="0" borderId="9" xfId="1" applyNumberFormat="1" applyFont="1" applyBorder="1"/>
    <xf numFmtId="166" fontId="22" fillId="2" borderId="9" xfId="0" applyNumberFormat="1" applyFont="1" applyFill="1" applyBorder="1" applyAlignment="1">
      <alignment horizontal="right"/>
    </xf>
    <xf numFmtId="166" fontId="30" fillId="2" borderId="9" xfId="0" applyNumberFormat="1" applyFont="1" applyFill="1" applyBorder="1" applyAlignment="1">
      <alignment horizontal="right"/>
    </xf>
    <xf numFmtId="174" fontId="0" fillId="0" borderId="9" xfId="0" applyNumberFormat="1" applyBorder="1"/>
    <xf numFmtId="0" fontId="32" fillId="0" borderId="9" xfId="0" applyFont="1" applyBorder="1" applyAlignment="1">
      <alignment horizontal="right" vertical="center" wrapText="1"/>
    </xf>
    <xf numFmtId="3" fontId="30" fillId="2" borderId="9" xfId="0" applyNumberFormat="1" applyFont="1" applyFill="1" applyBorder="1" applyAlignment="1">
      <alignment horizontal="right"/>
    </xf>
    <xf numFmtId="3" fontId="30" fillId="0" borderId="9" xfId="0" applyNumberFormat="1" applyFont="1" applyBorder="1"/>
    <xf numFmtId="164" fontId="30" fillId="0" borderId="9" xfId="13" applyNumberFormat="1" applyFont="1" applyBorder="1"/>
    <xf numFmtId="166" fontId="17" fillId="2" borderId="9" xfId="0" quotePrefix="1" applyNumberFormat="1" applyFont="1" applyFill="1" applyBorder="1" applyAlignment="1">
      <alignment horizontal="right"/>
    </xf>
    <xf numFmtId="37" fontId="34" fillId="2" borderId="9" xfId="0" quotePrefix="1" applyNumberFormat="1" applyFont="1" applyFill="1" applyBorder="1" applyAlignment="1">
      <alignment horizontal="center" vertical="center"/>
    </xf>
    <xf numFmtId="164" fontId="0" fillId="0" borderId="9" xfId="0" applyNumberFormat="1" applyBorder="1"/>
    <xf numFmtId="0" fontId="34" fillId="20" borderId="9" xfId="0" applyFont="1" applyFill="1" applyBorder="1" applyAlignment="1">
      <alignment horizontal="right" vertical="center" wrapText="1"/>
    </xf>
    <xf numFmtId="174" fontId="36" fillId="2" borderId="9" xfId="0" applyNumberFormat="1" applyFont="1" applyFill="1" applyBorder="1" applyAlignment="1">
      <alignment horizontal="center" vertical="center"/>
    </xf>
    <xf numFmtId="37" fontId="36" fillId="2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164" fontId="7" fillId="0" borderId="9" xfId="27" applyNumberFormat="1" applyFont="1" applyBorder="1"/>
    <xf numFmtId="164" fontId="7" fillId="0" borderId="9" xfId="41" applyNumberFormat="1" applyFont="1" applyBorder="1"/>
    <xf numFmtId="174" fontId="34" fillId="0" borderId="9" xfId="0" applyNumberFormat="1" applyFont="1" applyBorder="1" applyAlignment="1">
      <alignment horizontal="center" vertical="center"/>
    </xf>
    <xf numFmtId="164" fontId="30" fillId="2" borderId="9" xfId="0" applyNumberFormat="1" applyFont="1" applyFill="1" applyBorder="1" applyAlignment="1">
      <alignment horizontal="right"/>
    </xf>
    <xf numFmtId="37" fontId="11" fillId="4" borderId="9" xfId="2" quotePrefix="1" applyNumberFormat="1" applyFont="1" applyFill="1" applyBorder="1" applyAlignment="1">
      <alignment horizontal="left"/>
    </xf>
    <xf numFmtId="41" fontId="11" fillId="4" borderId="9" xfId="2" applyNumberFormat="1" applyFont="1" applyFill="1" applyBorder="1" applyAlignment="1">
      <alignment horizontal="right"/>
    </xf>
    <xf numFmtId="41" fontId="26" fillId="4" borderId="9" xfId="2" applyNumberFormat="1" applyFont="1" applyFill="1" applyBorder="1" applyAlignment="1">
      <alignment horizontal="right"/>
    </xf>
    <xf numFmtId="41" fontId="16" fillId="4" borderId="9" xfId="2" applyNumberFormat="1" applyFont="1" applyFill="1" applyBorder="1" applyAlignment="1">
      <alignment horizontal="right"/>
    </xf>
    <xf numFmtId="164" fontId="11" fillId="4" borderId="9" xfId="10" applyNumberFormat="1" applyFont="1" applyFill="1" applyBorder="1"/>
    <xf numFmtId="41" fontId="11" fillId="7" borderId="9" xfId="2" applyNumberFormat="1" applyFont="1" applyFill="1" applyBorder="1" applyAlignment="1">
      <alignment horizontal="right"/>
    </xf>
    <xf numFmtId="41" fontId="26" fillId="7" borderId="9" xfId="2" applyNumberFormat="1" applyFont="1" applyFill="1" applyBorder="1" applyAlignment="1">
      <alignment horizontal="right"/>
    </xf>
    <xf numFmtId="41" fontId="16" fillId="7" borderId="9" xfId="2" applyNumberFormat="1" applyFont="1" applyFill="1" applyBorder="1" applyAlignment="1">
      <alignment horizontal="right"/>
    </xf>
    <xf numFmtId="41" fontId="26" fillId="11" borderId="9" xfId="2" applyNumberFormat="1" applyFont="1" applyFill="1" applyBorder="1" applyAlignment="1">
      <alignment horizontal="right"/>
    </xf>
    <xf numFmtId="41" fontId="11" fillId="11" borderId="9" xfId="2" applyNumberFormat="1" applyFont="1" applyFill="1" applyBorder="1" applyAlignment="1">
      <alignment horizontal="right"/>
    </xf>
    <xf numFmtId="41" fontId="28" fillId="11" borderId="9" xfId="2" applyNumberFormat="1" applyFont="1" applyFill="1" applyBorder="1" applyAlignment="1">
      <alignment horizontal="right"/>
    </xf>
    <xf numFmtId="166" fontId="11" fillId="11" borderId="9" xfId="0" applyNumberFormat="1" applyFont="1" applyFill="1" applyBorder="1" applyAlignment="1">
      <alignment horizontal="right"/>
    </xf>
    <xf numFmtId="166" fontId="26" fillId="11" borderId="9" xfId="0" applyNumberFormat="1" applyFont="1" applyFill="1" applyBorder="1" applyAlignment="1">
      <alignment horizontal="right"/>
    </xf>
    <xf numFmtId="166" fontId="18" fillId="11" borderId="9" xfId="0" applyNumberFormat="1" applyFont="1" applyFill="1" applyBorder="1" applyAlignment="1">
      <alignment horizontal="right"/>
    </xf>
    <xf numFmtId="166" fontId="22" fillId="11" borderId="9" xfId="0" applyNumberFormat="1" applyFont="1" applyFill="1" applyBorder="1" applyAlignment="1">
      <alignment horizontal="right"/>
    </xf>
    <xf numFmtId="3" fontId="17" fillId="11" borderId="9" xfId="0" applyNumberFormat="1" applyFont="1" applyFill="1" applyBorder="1" applyAlignment="1">
      <alignment horizontal="right"/>
    </xf>
    <xf numFmtId="3" fontId="18" fillId="11" borderId="9" xfId="0" applyNumberFormat="1" applyFont="1" applyFill="1" applyBorder="1"/>
    <xf numFmtId="3" fontId="18" fillId="11" borderId="9" xfId="0" applyNumberFormat="1" applyFont="1" applyFill="1" applyBorder="1" applyAlignment="1">
      <alignment horizontal="right"/>
    </xf>
    <xf numFmtId="164" fontId="18" fillId="11" borderId="9" xfId="0" applyNumberFormat="1" applyFont="1" applyFill="1" applyBorder="1" applyAlignment="1">
      <alignment horizontal="right"/>
    </xf>
    <xf numFmtId="0" fontId="35" fillId="19" borderId="9" xfId="0" applyFont="1" applyFill="1" applyBorder="1" applyAlignment="1">
      <alignment vertical="center" wrapText="1"/>
    </xf>
    <xf numFmtId="37" fontId="11" fillId="3" borderId="9" xfId="2" quotePrefix="1" applyNumberFormat="1" applyFont="1" applyFill="1" applyBorder="1" applyAlignment="1">
      <alignment horizontal="left"/>
    </xf>
    <xf numFmtId="41" fontId="11" fillId="3" borderId="9" xfId="2" applyNumberFormat="1" applyFont="1" applyFill="1" applyBorder="1" applyAlignment="1" applyProtection="1">
      <alignment horizontal="right"/>
      <protection locked="0"/>
    </xf>
    <xf numFmtId="41" fontId="26" fillId="3" borderId="9" xfId="2" applyNumberFormat="1" applyFont="1" applyFill="1" applyBorder="1" applyAlignment="1" applyProtection="1">
      <alignment horizontal="right"/>
      <protection locked="0"/>
    </xf>
    <xf numFmtId="41" fontId="11" fillId="6" borderId="9" xfId="2" applyNumberFormat="1" applyFont="1" applyFill="1" applyBorder="1" applyAlignment="1" applyProtection="1">
      <alignment horizontal="right"/>
      <protection locked="0"/>
    </xf>
    <xf numFmtId="41" fontId="26" fillId="6" borderId="9" xfId="2" applyNumberFormat="1" applyFont="1" applyFill="1" applyBorder="1" applyAlignment="1" applyProtection="1">
      <alignment horizontal="right"/>
      <protection locked="0"/>
    </xf>
    <xf numFmtId="41" fontId="11" fillId="12" borderId="9" xfId="2" applyNumberFormat="1" applyFont="1" applyFill="1" applyBorder="1" applyAlignment="1" applyProtection="1">
      <alignment horizontal="right"/>
      <protection locked="0"/>
    </xf>
    <xf numFmtId="41" fontId="26" fillId="12" borderId="9" xfId="2" applyNumberFormat="1" applyFont="1" applyFill="1" applyBorder="1" applyAlignment="1" applyProtection="1">
      <alignment horizontal="right"/>
      <protection locked="0"/>
    </xf>
    <xf numFmtId="166" fontId="11" fillId="12" borderId="9" xfId="0" applyNumberFormat="1" applyFont="1" applyFill="1" applyBorder="1" applyAlignment="1" applyProtection="1">
      <alignment horizontal="right"/>
      <protection locked="0"/>
    </xf>
    <xf numFmtId="166" fontId="26" fillId="12" borderId="9" xfId="0" applyNumberFormat="1" applyFont="1" applyFill="1" applyBorder="1" applyAlignment="1" applyProtection="1">
      <alignment horizontal="right"/>
      <protection locked="0"/>
    </xf>
    <xf numFmtId="166" fontId="18" fillId="2" borderId="9" xfId="0" applyNumberFormat="1" applyFont="1" applyFill="1" applyBorder="1" applyAlignment="1">
      <alignment horizontal="right"/>
    </xf>
    <xf numFmtId="3" fontId="18" fillId="2" borderId="9" xfId="0" applyNumberFormat="1" applyFont="1" applyFill="1" applyBorder="1" applyAlignment="1">
      <alignment horizontal="right"/>
    </xf>
    <xf numFmtId="3" fontId="18" fillId="15" borderId="9" xfId="0" applyNumberFormat="1" applyFont="1" applyFill="1" applyBorder="1"/>
    <xf numFmtId="3" fontId="18" fillId="0" borderId="9" xfId="0" applyNumberFormat="1" applyFont="1" applyBorder="1"/>
    <xf numFmtId="0" fontId="11" fillId="11" borderId="11" xfId="2" applyFont="1" applyFill="1" applyBorder="1" applyAlignment="1">
      <alignment horizontal="center"/>
    </xf>
    <xf numFmtId="166" fontId="8" fillId="0" borderId="13" xfId="0" applyNumberFormat="1" applyFont="1" applyBorder="1" applyAlignment="1">
      <alignment horizontal="left"/>
    </xf>
    <xf numFmtId="166" fontId="17" fillId="0" borderId="13" xfId="0" applyNumberFormat="1" applyFont="1" applyBorder="1" applyAlignment="1">
      <alignment horizontal="right"/>
    </xf>
    <xf numFmtId="166" fontId="17" fillId="0" borderId="12" xfId="0" applyNumberFormat="1" applyFont="1" applyBorder="1" applyAlignment="1">
      <alignment horizontal="right"/>
    </xf>
    <xf numFmtId="166" fontId="17" fillId="0" borderId="35" xfId="0" applyNumberFormat="1" applyFont="1" applyBorder="1" applyAlignment="1">
      <alignment horizontal="right"/>
    </xf>
    <xf numFmtId="38" fontId="18" fillId="17" borderId="9" xfId="46" applyNumberFormat="1" applyFont="1" applyFill="1" applyBorder="1" applyAlignment="1">
      <alignment horizontal="right"/>
    </xf>
    <xf numFmtId="38" fontId="25" fillId="17" borderId="9" xfId="46" applyNumberFormat="1" applyFont="1" applyFill="1" applyBorder="1" applyAlignment="1">
      <alignment horizontal="right"/>
    </xf>
    <xf numFmtId="38" fontId="25" fillId="17" borderId="9" xfId="46" applyNumberFormat="1" applyFont="1" applyFill="1" applyBorder="1" applyAlignment="1" applyProtection="1">
      <alignment horizontal="right"/>
    </xf>
    <xf numFmtId="38" fontId="18" fillId="17" borderId="9" xfId="46" applyNumberFormat="1" applyFont="1" applyFill="1" applyBorder="1"/>
    <xf numFmtId="38" fontId="25" fillId="16" borderId="9" xfId="46" applyNumberFormat="1" applyFont="1" applyFill="1" applyBorder="1" applyAlignment="1">
      <alignment horizontal="right"/>
    </xf>
    <xf numFmtId="38" fontId="31" fillId="17" borderId="9" xfId="46" applyNumberFormat="1" applyFont="1" applyFill="1" applyBorder="1" applyAlignment="1">
      <alignment horizontal="right"/>
    </xf>
    <xf numFmtId="38" fontId="32" fillId="0" borderId="9" xfId="46" applyNumberFormat="1" applyFont="1" applyFill="1" applyBorder="1" applyAlignment="1" applyProtection="1">
      <alignment horizontal="right"/>
    </xf>
    <xf numFmtId="38" fontId="32" fillId="0" borderId="9" xfId="46" applyNumberFormat="1" applyFont="1" applyFill="1" applyBorder="1"/>
    <xf numFmtId="38" fontId="25" fillId="0" borderId="9" xfId="46" applyNumberFormat="1" applyFont="1" applyFill="1" applyBorder="1" applyAlignment="1">
      <alignment horizontal="right"/>
    </xf>
    <xf numFmtId="38" fontId="32" fillId="0" borderId="9" xfId="46" applyNumberFormat="1" applyFont="1" applyFill="1" applyBorder="1" applyAlignment="1">
      <alignment horizontal="right"/>
    </xf>
    <xf numFmtId="38" fontId="32" fillId="0" borderId="9" xfId="46" applyNumberFormat="1" applyFont="1" applyBorder="1" applyAlignment="1">
      <alignment horizontal="right"/>
    </xf>
    <xf numFmtId="38" fontId="18" fillId="10" borderId="9" xfId="46" applyNumberFormat="1" applyFont="1" applyFill="1" applyBorder="1" applyAlignment="1">
      <alignment horizontal="right"/>
    </xf>
    <xf numFmtId="38" fontId="31" fillId="10" borderId="9" xfId="46" applyNumberFormat="1" applyFont="1" applyFill="1" applyBorder="1" applyAlignment="1">
      <alignment horizontal="right"/>
    </xf>
    <xf numFmtId="38" fontId="25" fillId="10" borderId="9" xfId="46" applyNumberFormat="1" applyFont="1" applyFill="1" applyBorder="1" applyAlignment="1" applyProtection="1">
      <alignment horizontal="right"/>
    </xf>
    <xf numFmtId="38" fontId="18" fillId="10" borderId="9" xfId="46" applyNumberFormat="1" applyFont="1" applyFill="1" applyBorder="1"/>
    <xf numFmtId="38" fontId="18" fillId="10" borderId="9" xfId="46" applyNumberFormat="1" applyFont="1" applyFill="1" applyBorder="1" applyAlignment="1" applyProtection="1">
      <alignment horizontal="right"/>
    </xf>
    <xf numFmtId="38" fontId="31" fillId="10" borderId="9" xfId="46" applyNumberFormat="1" applyFont="1" applyFill="1" applyBorder="1" applyAlignment="1" applyProtection="1">
      <alignment horizontal="right"/>
    </xf>
    <xf numFmtId="38" fontId="25" fillId="10" borderId="9" xfId="46" applyNumberFormat="1" applyFont="1" applyFill="1" applyBorder="1" applyAlignment="1">
      <alignment horizontal="right"/>
    </xf>
    <xf numFmtId="174" fontId="36" fillId="17" borderId="9" xfId="46" applyNumberFormat="1" applyFont="1" applyFill="1" applyBorder="1" applyAlignment="1" applyProtection="1">
      <alignment horizontal="center" vertical="center"/>
    </xf>
    <xf numFmtId="174" fontId="34" fillId="0" borderId="9" xfId="46" applyNumberFormat="1" applyFont="1" applyFill="1" applyBorder="1" applyAlignment="1" applyProtection="1">
      <alignment horizontal="center" vertical="center"/>
    </xf>
    <xf numFmtId="38" fontId="0" fillId="0" borderId="9" xfId="0" applyNumberFormat="1" applyBorder="1"/>
    <xf numFmtId="174" fontId="34" fillId="0" borderId="46" xfId="46" applyNumberFormat="1" applyFont="1" applyFill="1" applyBorder="1" applyAlignment="1" applyProtection="1">
      <alignment horizontal="center" vertical="center"/>
    </xf>
    <xf numFmtId="174" fontId="0" fillId="0" borderId="46" xfId="0" applyNumberFormat="1" applyBorder="1"/>
    <xf numFmtId="174" fontId="34" fillId="0" borderId="46" xfId="0" applyNumberFormat="1" applyFont="1" applyBorder="1" applyAlignment="1">
      <alignment horizontal="center" vertical="center"/>
    </xf>
    <xf numFmtId="174" fontId="36" fillId="17" borderId="46" xfId="0" applyNumberFormat="1" applyFont="1" applyFill="1" applyBorder="1" applyAlignment="1">
      <alignment horizontal="center" vertical="center"/>
    </xf>
  </cellXfs>
  <cellStyles count="57">
    <cellStyle name="Millares" xfId="1" builtinId="3"/>
    <cellStyle name="Millares [0] 2" xfId="4" xr:uid="{344909BD-F139-4D2A-A2F4-FEBB98DD42E6}"/>
    <cellStyle name="Millares [0] 3" xfId="45" xr:uid="{BB1D2FD1-9087-4612-BE46-D65ED5A933DB}"/>
    <cellStyle name="Millares [0] 4" xfId="53" xr:uid="{3C5A0AEE-D509-47B8-A6D6-63F830A38CF7}"/>
    <cellStyle name="Millares 10" xfId="13" xr:uid="{18A10057-02A4-4E08-BFD4-95FAB19EDB0B}"/>
    <cellStyle name="Millares 11" xfId="14" xr:uid="{CA367249-AC74-40B0-8604-865D7DA14514}"/>
    <cellStyle name="Millares 12" xfId="16" xr:uid="{D82D30FB-7FD1-43C5-A8E2-9841C3E52153}"/>
    <cellStyle name="Millares 13" xfId="17" xr:uid="{B5760EA8-F6EB-4DFB-9065-3449E9C0EEF0}"/>
    <cellStyle name="Millares 14" xfId="15" xr:uid="{AF5ED511-32D0-4608-A10F-70CF1A86B807}"/>
    <cellStyle name="Millares 15" xfId="18" xr:uid="{A9191757-1085-4386-ACE2-550673110981}"/>
    <cellStyle name="Millares 16" xfId="19" xr:uid="{C3459864-1240-4BB1-AA1D-C84AD885B3D1}"/>
    <cellStyle name="Millares 17" xfId="20" xr:uid="{985BBDFF-2737-4D3D-B9DB-A3F7C3ACA8F5}"/>
    <cellStyle name="Millares 18" xfId="22" xr:uid="{EF88FE1A-7091-4CD0-A968-2215A06BA82A}"/>
    <cellStyle name="Millares 19" xfId="21" xr:uid="{19B4C09F-0A09-41DC-B331-61426F227B9D}"/>
    <cellStyle name="Millares 2" xfId="3" xr:uid="{0730E25B-EC8D-49EF-9643-68F6668E37CF}"/>
    <cellStyle name="Millares 20" xfId="23" xr:uid="{08FF50AD-68FB-4763-8A81-1FB92FE881A0}"/>
    <cellStyle name="Millares 21" xfId="24" xr:uid="{9B5FD268-8DA0-4C33-A7B4-6958FBED9553}"/>
    <cellStyle name="Millares 22" xfId="25" xr:uid="{43F0E992-F75E-45C5-B07B-565EBB74313D}"/>
    <cellStyle name="Millares 23" xfId="26" xr:uid="{825A7B28-1E69-4F7B-A299-91E52008252D}"/>
    <cellStyle name="Millares 24" xfId="29" xr:uid="{5FAB55EB-32D8-4B15-8906-D7E67808494F}"/>
    <cellStyle name="Millares 25" xfId="30" xr:uid="{4E43716B-0502-43CE-85AD-42E9257A54E3}"/>
    <cellStyle name="Millares 26" xfId="28" xr:uid="{0D46B5AE-C0D6-421E-966A-CEC81C58226A}"/>
    <cellStyle name="Millares 27" xfId="31" xr:uid="{03DA022E-2727-42BF-96DF-C03FCFC833A0}"/>
    <cellStyle name="Millares 28" xfId="33" xr:uid="{BB8D335C-9254-4185-B953-D922F2B4DFB1}"/>
    <cellStyle name="Millares 29" xfId="27" xr:uid="{192D409B-50C2-4EB8-AFEC-AA3BD320E5E7}"/>
    <cellStyle name="Millares 3" xfId="6" xr:uid="{32CFBBB9-DE66-44AF-9B76-FF6AC011935F}"/>
    <cellStyle name="Millares 30" xfId="32" xr:uid="{EDD19BED-8A1A-42BE-A5C9-426574CAC2D2}"/>
    <cellStyle name="Millares 31" xfId="34" xr:uid="{27D3B527-667F-48AF-90F0-D460DDCEFE74}"/>
    <cellStyle name="Millares 32" xfId="35" xr:uid="{07C0D25A-15E4-4D17-897D-0AF64B32DA51}"/>
    <cellStyle name="Millares 33" xfId="36" xr:uid="{DB44BE09-C62B-4D56-8975-08A9E4CA3E7B}"/>
    <cellStyle name="Millares 34" xfId="37" xr:uid="{B810A7EC-C05C-4A31-9E6D-25CC7DF7A3D3}"/>
    <cellStyle name="Millares 35" xfId="38" xr:uid="{C9BA0460-D2B5-4E67-86EF-EC485A173674}"/>
    <cellStyle name="Millares 36" xfId="39" xr:uid="{24A88FB4-BCAA-4247-94CC-E4FD7F421B15}"/>
    <cellStyle name="Millares 37" xfId="40" xr:uid="{09B493B9-DACD-44C9-93AB-2E4075848A2E}"/>
    <cellStyle name="Millares 38" xfId="41" xr:uid="{5F1458F1-97EB-46F2-AD83-E35A14B27A68}"/>
    <cellStyle name="Millares 39" xfId="42" xr:uid="{4A9592D6-D5FC-4AA2-A3B5-C218AA2A364D}"/>
    <cellStyle name="Millares 4" xfId="7" xr:uid="{BE62B97C-8CDF-4FBF-938D-294297094C07}"/>
    <cellStyle name="Millares 40" xfId="43" xr:uid="{B969E32C-38C4-42FC-A3C7-E5627B122802}"/>
    <cellStyle name="Millares 41" xfId="44" xr:uid="{CB1BD666-D72E-4F9F-9263-95C9F2CDE34D}"/>
    <cellStyle name="Millares 42" xfId="49" xr:uid="{4BCC15F3-9CE5-43CB-A9FC-19E7CA6CC0E5}"/>
    <cellStyle name="Millares 43" xfId="48" xr:uid="{B80B3EA5-2B2B-4665-A8D4-56BFB95A68F5}"/>
    <cellStyle name="Millares 44" xfId="50" xr:uid="{FDA60EAC-A9C2-45B8-B9D2-D79B5667C6D2}"/>
    <cellStyle name="Millares 45" xfId="51" xr:uid="{501118CD-D579-4230-8FC7-05F947940674}"/>
    <cellStyle name="Millares 46" xfId="52" xr:uid="{20732BF0-AC15-4A8C-A986-523B1A4A3ADE}"/>
    <cellStyle name="Millares 47" xfId="56" xr:uid="{20E911A1-2134-427F-B22C-A47453CD4408}"/>
    <cellStyle name="Millares 5" xfId="8" xr:uid="{AA1A7472-BFE6-4555-9B55-6F34207C3916}"/>
    <cellStyle name="Millares 6" xfId="9" xr:uid="{72CC3BAE-6D1C-4AF0-BECC-3D5AA8D01DA1}"/>
    <cellStyle name="Millares 7" xfId="10" xr:uid="{3B98AF38-2596-4E98-9256-C07894D8D721}"/>
    <cellStyle name="Millares 8" xfId="11" xr:uid="{1406A9B9-722F-4DCC-801A-F082184D4068}"/>
    <cellStyle name="Millares 9" xfId="12" xr:uid="{50C708E8-EFE8-4208-9370-8FA5CAA1849A}"/>
    <cellStyle name="Moneda 2" xfId="46" xr:uid="{0E0B3E39-512D-417E-A1D1-A867259905EF}"/>
    <cellStyle name="Moneda 3" xfId="54" xr:uid="{CAF23390-07B1-463B-8965-56FB526E827C}"/>
    <cellStyle name="Normal" xfId="0" builtinId="0"/>
    <cellStyle name="Normal 2" xfId="2" xr:uid="{4290A9F8-C57E-4DD8-A331-908FC3AF14E8}"/>
    <cellStyle name="Normal 2 2" xfId="47" xr:uid="{985B202F-3B81-4FCF-B7E2-FACCF1377FA6}"/>
    <cellStyle name="Porcentaje 2" xfId="5" xr:uid="{5B7C38CC-CC85-4DC8-8D4A-DEEFD926CCE0}"/>
    <cellStyle name="Porcentaje 3" xfId="55" xr:uid="{E0AB43D5-DEB2-410E-815F-DA9F9601EBAD}"/>
  </cellStyles>
  <dxfs count="184"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  <dxf>
      <font>
        <color rgb="FFFF0000"/>
      </font>
    </dxf>
    <dxf>
      <font>
        <color rgb="FF9C0006"/>
      </font>
    </dxf>
    <dxf>
      <fill>
        <patternFill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101F-00AB-47CA-911C-5CFE20D463EC}">
  <dimension ref="A1:CY23"/>
  <sheetViews>
    <sheetView tabSelected="1" zoomScaleNormal="100" workbookViewId="0">
      <selection activeCell="G5" sqref="G5"/>
    </sheetView>
  </sheetViews>
  <sheetFormatPr baseColWidth="10" defaultRowHeight="15" x14ac:dyDescent="0.25"/>
  <cols>
    <col min="1" max="1" width="32.85546875" bestFit="1" customWidth="1"/>
    <col min="2" max="2" width="10.7109375" bestFit="1" customWidth="1"/>
    <col min="7" max="11" width="12" bestFit="1" customWidth="1"/>
    <col min="23" max="23" width="10.7109375" bestFit="1" customWidth="1"/>
    <col min="26" max="27" width="12" bestFit="1" customWidth="1"/>
    <col min="34" max="35" width="12" bestFit="1" customWidth="1"/>
    <col min="42" max="42" width="12" bestFit="1" customWidth="1"/>
    <col min="43" max="43" width="12.85546875" bestFit="1" customWidth="1"/>
    <col min="48" max="49" width="12" bestFit="1" customWidth="1"/>
    <col min="50" max="51" width="12.85546875" bestFit="1" customWidth="1"/>
    <col min="58" max="59" width="12.85546875" bestFit="1" customWidth="1"/>
    <col min="66" max="67" width="12.85546875" bestFit="1" customWidth="1"/>
    <col min="70" max="72" width="12.5703125" bestFit="1" customWidth="1"/>
    <col min="74" max="75" width="14" bestFit="1" customWidth="1"/>
    <col min="78" max="79" width="12.5703125" bestFit="1" customWidth="1"/>
    <col min="81" max="81" width="12.5703125" bestFit="1" customWidth="1"/>
    <col min="84" max="84" width="12.5703125" bestFit="1" customWidth="1"/>
    <col min="86" max="87" width="14" bestFit="1" customWidth="1"/>
    <col min="89" max="89" width="11.5703125" bestFit="1" customWidth="1"/>
    <col min="90" max="90" width="12.5703125" bestFit="1" customWidth="1"/>
    <col min="91" max="91" width="12.7109375" bestFit="1" customWidth="1"/>
    <col min="92" max="92" width="12.5703125" bestFit="1" customWidth="1"/>
    <col min="94" max="95" width="18.85546875" bestFit="1" customWidth="1"/>
    <col min="96" max="97" width="17.85546875" bestFit="1" customWidth="1"/>
    <col min="98" max="103" width="16.28515625" bestFit="1" customWidth="1"/>
  </cols>
  <sheetData>
    <row r="1" spans="1:103" ht="36" customHeight="1" thickBot="1" x14ac:dyDescent="0.3">
      <c r="A1" s="547" t="s">
        <v>0</v>
      </c>
      <c r="B1" s="555" t="s">
        <v>1</v>
      </c>
      <c r="C1" s="556"/>
      <c r="D1" s="556"/>
      <c r="E1" s="556"/>
      <c r="F1" s="557"/>
      <c r="G1" s="555" t="s">
        <v>2</v>
      </c>
      <c r="H1" s="556"/>
      <c r="I1" s="556"/>
      <c r="J1" s="556"/>
      <c r="K1" s="557"/>
      <c r="L1" s="552" t="s">
        <v>3</v>
      </c>
      <c r="M1" s="553"/>
      <c r="N1" s="553"/>
      <c r="O1" s="553"/>
      <c r="P1" s="554"/>
      <c r="Q1" s="552" t="s">
        <v>4</v>
      </c>
      <c r="R1" s="553"/>
      <c r="S1" s="553"/>
      <c r="T1" s="553"/>
      <c r="U1" s="554"/>
      <c r="V1" s="541" t="s">
        <v>83</v>
      </c>
      <c r="W1" s="542"/>
      <c r="X1" s="549" t="s">
        <v>3</v>
      </c>
      <c r="Y1" s="551"/>
      <c r="Z1" s="541" t="s">
        <v>2</v>
      </c>
      <c r="AA1" s="542"/>
      <c r="AB1" s="549" t="s">
        <v>4</v>
      </c>
      <c r="AC1" s="550"/>
      <c r="AD1" s="558" t="s">
        <v>83</v>
      </c>
      <c r="AE1" s="559"/>
      <c r="AF1" s="560" t="s">
        <v>3</v>
      </c>
      <c r="AG1" s="562"/>
      <c r="AH1" s="558" t="s">
        <v>2</v>
      </c>
      <c r="AI1" s="559"/>
      <c r="AJ1" s="560" t="s">
        <v>4</v>
      </c>
      <c r="AK1" s="561"/>
      <c r="AL1" s="563" t="s">
        <v>83</v>
      </c>
      <c r="AM1" s="564"/>
      <c r="AN1" s="565" t="s">
        <v>3</v>
      </c>
      <c r="AO1" s="566"/>
      <c r="AP1" s="563" t="s">
        <v>2</v>
      </c>
      <c r="AQ1" s="564"/>
      <c r="AR1" s="565" t="s">
        <v>4</v>
      </c>
      <c r="AS1" s="567"/>
      <c r="AT1" s="558" t="s">
        <v>83</v>
      </c>
      <c r="AU1" s="559"/>
      <c r="AV1" s="560" t="s">
        <v>3</v>
      </c>
      <c r="AW1" s="562"/>
      <c r="AX1" s="558" t="s">
        <v>2</v>
      </c>
      <c r="AY1" s="559"/>
      <c r="AZ1" s="560" t="s">
        <v>4</v>
      </c>
      <c r="BA1" s="561"/>
      <c r="BB1" s="558" t="s">
        <v>1</v>
      </c>
      <c r="BC1" s="559"/>
      <c r="BD1" s="560" t="s">
        <v>3</v>
      </c>
      <c r="BE1" s="562"/>
      <c r="BF1" s="558" t="s">
        <v>2</v>
      </c>
      <c r="BG1" s="559"/>
      <c r="BH1" s="560" t="s">
        <v>4</v>
      </c>
      <c r="BI1" s="561"/>
      <c r="BJ1" s="558" t="s">
        <v>1</v>
      </c>
      <c r="BK1" s="559"/>
      <c r="BL1" s="568" t="s">
        <v>4</v>
      </c>
      <c r="BM1" s="569"/>
      <c r="BN1" s="541" t="s">
        <v>2</v>
      </c>
      <c r="BO1" s="542"/>
      <c r="BP1" s="568" t="s">
        <v>3</v>
      </c>
      <c r="BQ1" s="569"/>
      <c r="BR1" s="538" t="s">
        <v>1</v>
      </c>
      <c r="BS1" s="539"/>
      <c r="BT1" s="543" t="s">
        <v>3</v>
      </c>
      <c r="BU1" s="544"/>
      <c r="BV1" s="541" t="s">
        <v>2</v>
      </c>
      <c r="BW1" s="542"/>
      <c r="BX1" s="540" t="s">
        <v>148</v>
      </c>
      <c r="BY1" s="540"/>
      <c r="BZ1" s="540" t="s">
        <v>149</v>
      </c>
      <c r="CA1" s="540"/>
      <c r="CB1" s="540" t="s">
        <v>150</v>
      </c>
      <c r="CC1" s="540"/>
      <c r="CD1" s="538" t="s">
        <v>1</v>
      </c>
      <c r="CE1" s="539"/>
      <c r="CF1" s="543" t="s">
        <v>3</v>
      </c>
      <c r="CG1" s="544"/>
      <c r="CH1" s="541" t="s">
        <v>2</v>
      </c>
      <c r="CI1" s="542"/>
      <c r="CJ1" s="538" t="s">
        <v>148</v>
      </c>
      <c r="CK1" s="539"/>
      <c r="CL1" s="538" t="s">
        <v>149</v>
      </c>
      <c r="CM1" s="539"/>
      <c r="CN1" s="538" t="s">
        <v>150</v>
      </c>
      <c r="CO1" s="539"/>
      <c r="CP1" s="541" t="s">
        <v>2</v>
      </c>
      <c r="CQ1" s="542"/>
      <c r="CR1" s="543" t="s">
        <v>3</v>
      </c>
      <c r="CS1" s="544"/>
      <c r="CT1" s="545" t="s">
        <v>1</v>
      </c>
      <c r="CU1" s="546"/>
      <c r="CV1" s="545" t="s">
        <v>187</v>
      </c>
      <c r="CW1" s="546"/>
      <c r="CX1" s="538" t="s">
        <v>148</v>
      </c>
      <c r="CY1" s="539"/>
    </row>
    <row r="2" spans="1:103" ht="15.75" thickBot="1" x14ac:dyDescent="0.3">
      <c r="A2" s="548"/>
      <c r="B2" s="22">
        <v>2008</v>
      </c>
      <c r="C2" s="22">
        <v>2009</v>
      </c>
      <c r="D2" s="22">
        <v>2010</v>
      </c>
      <c r="E2" s="22">
        <v>2011</v>
      </c>
      <c r="F2" s="22">
        <v>2012</v>
      </c>
      <c r="G2" s="22">
        <v>2008</v>
      </c>
      <c r="H2" s="22">
        <v>2009</v>
      </c>
      <c r="I2" s="22">
        <v>2010</v>
      </c>
      <c r="J2" s="22">
        <v>2011</v>
      </c>
      <c r="K2" s="22">
        <v>2012</v>
      </c>
      <c r="L2" s="22">
        <v>2008</v>
      </c>
      <c r="M2" s="22">
        <v>2009</v>
      </c>
      <c r="N2" s="22">
        <v>2010</v>
      </c>
      <c r="O2" s="22">
        <v>2011</v>
      </c>
      <c r="P2" s="22">
        <v>2012</v>
      </c>
      <c r="Q2" s="22">
        <v>2008</v>
      </c>
      <c r="R2" s="22">
        <v>2009</v>
      </c>
      <c r="S2" s="22">
        <v>2010</v>
      </c>
      <c r="T2" s="22">
        <v>2011</v>
      </c>
      <c r="U2" s="22">
        <v>2012</v>
      </c>
      <c r="V2" s="217">
        <v>2012</v>
      </c>
      <c r="W2" s="217">
        <v>2013</v>
      </c>
      <c r="X2" s="217">
        <v>2012</v>
      </c>
      <c r="Y2" s="217">
        <v>2013</v>
      </c>
      <c r="Z2" s="217">
        <v>2012</v>
      </c>
      <c r="AA2" s="217">
        <v>2013</v>
      </c>
      <c r="AB2" s="217">
        <v>2012</v>
      </c>
      <c r="AC2" s="217">
        <v>2013</v>
      </c>
      <c r="AD2" s="273">
        <v>2013</v>
      </c>
      <c r="AE2" s="273">
        <v>2014</v>
      </c>
      <c r="AF2" s="273">
        <v>2013</v>
      </c>
      <c r="AG2" s="273">
        <v>2014</v>
      </c>
      <c r="AH2" s="273">
        <v>2013</v>
      </c>
      <c r="AI2" s="273">
        <v>2014</v>
      </c>
      <c r="AJ2" s="273">
        <v>2013</v>
      </c>
      <c r="AK2" s="273">
        <v>2014</v>
      </c>
      <c r="AL2" s="330">
        <v>2014</v>
      </c>
      <c r="AM2" s="330">
        <v>2015</v>
      </c>
      <c r="AN2" s="330">
        <v>2014</v>
      </c>
      <c r="AO2" s="330">
        <v>2015</v>
      </c>
      <c r="AP2" s="330">
        <v>2014</v>
      </c>
      <c r="AQ2" s="330">
        <v>2015</v>
      </c>
      <c r="AR2" s="330">
        <v>2014</v>
      </c>
      <c r="AS2" s="330">
        <v>2015</v>
      </c>
      <c r="AT2" s="273">
        <v>2015</v>
      </c>
      <c r="AU2" s="273">
        <v>2016</v>
      </c>
      <c r="AV2" s="273">
        <v>2015</v>
      </c>
      <c r="AW2" s="273">
        <v>2016</v>
      </c>
      <c r="AX2" s="273">
        <v>2015</v>
      </c>
      <c r="AY2" s="273">
        <v>2016</v>
      </c>
      <c r="AZ2" s="273">
        <v>2015</v>
      </c>
      <c r="BA2" s="273">
        <v>2016</v>
      </c>
      <c r="BB2" s="273">
        <v>2016</v>
      </c>
      <c r="BC2" s="273">
        <v>2017</v>
      </c>
      <c r="BD2" s="273">
        <v>2016</v>
      </c>
      <c r="BE2" s="273">
        <v>2017</v>
      </c>
      <c r="BF2" s="273">
        <v>2016</v>
      </c>
      <c r="BG2" s="273">
        <v>2017</v>
      </c>
      <c r="BH2" s="273">
        <v>2016</v>
      </c>
      <c r="BI2" s="273">
        <v>2017</v>
      </c>
      <c r="BJ2" s="273">
        <v>2017</v>
      </c>
      <c r="BK2" s="273">
        <v>2018</v>
      </c>
      <c r="BL2" s="273">
        <v>2017</v>
      </c>
      <c r="BM2" s="273">
        <v>2018</v>
      </c>
      <c r="BN2" s="273">
        <v>2017</v>
      </c>
      <c r="BO2" s="273">
        <v>2018</v>
      </c>
      <c r="BP2" s="273">
        <v>2017</v>
      </c>
      <c r="BQ2" s="273">
        <v>2018</v>
      </c>
      <c r="BR2" s="435">
        <v>2019</v>
      </c>
      <c r="BS2" s="435">
        <v>2020</v>
      </c>
      <c r="BT2" s="435">
        <v>2019</v>
      </c>
      <c r="BU2" s="435">
        <v>2020</v>
      </c>
      <c r="BV2" s="435">
        <v>2019</v>
      </c>
      <c r="BW2" s="435">
        <v>2020</v>
      </c>
      <c r="BX2" s="435">
        <v>2019</v>
      </c>
      <c r="BY2" s="435">
        <v>2020</v>
      </c>
      <c r="BZ2" s="435">
        <v>2019</v>
      </c>
      <c r="CA2" s="435">
        <v>2020</v>
      </c>
      <c r="CB2" s="435">
        <v>2019</v>
      </c>
      <c r="CC2" s="435">
        <v>2020</v>
      </c>
      <c r="CD2" s="435">
        <v>2020</v>
      </c>
      <c r="CE2" s="435">
        <v>2021</v>
      </c>
      <c r="CF2" s="435">
        <v>2020</v>
      </c>
      <c r="CG2" s="435">
        <v>2021</v>
      </c>
      <c r="CH2" s="435">
        <v>2020</v>
      </c>
      <c r="CI2" s="435">
        <v>2021</v>
      </c>
      <c r="CJ2" s="435">
        <v>2020</v>
      </c>
      <c r="CK2" s="435">
        <v>2021</v>
      </c>
      <c r="CL2" s="435">
        <v>2020</v>
      </c>
      <c r="CM2" s="435">
        <v>2021</v>
      </c>
      <c r="CN2" s="435">
        <v>2020</v>
      </c>
      <c r="CO2" s="435">
        <v>2021</v>
      </c>
      <c r="CP2" s="495">
        <v>2022</v>
      </c>
      <c r="CQ2" s="491">
        <v>2023</v>
      </c>
      <c r="CR2" s="491">
        <v>2022</v>
      </c>
      <c r="CS2" s="491">
        <v>2023</v>
      </c>
      <c r="CT2" s="491">
        <v>2022</v>
      </c>
      <c r="CU2" s="491">
        <v>2023</v>
      </c>
      <c r="CV2" s="491">
        <v>2022</v>
      </c>
      <c r="CW2" s="491">
        <v>2023</v>
      </c>
      <c r="CX2" s="491">
        <v>2022</v>
      </c>
      <c r="CY2" s="491">
        <v>2023</v>
      </c>
    </row>
    <row r="3" spans="1:103" ht="15.75" thickBot="1" x14ac:dyDescent="0.3">
      <c r="A3" s="6" t="s">
        <v>7</v>
      </c>
      <c r="B3" s="1">
        <v>139252771</v>
      </c>
      <c r="C3" s="1">
        <v>146043249</v>
      </c>
      <c r="D3" s="1">
        <v>116001631</v>
      </c>
      <c r="E3" s="1">
        <v>165525569</v>
      </c>
      <c r="F3" s="1">
        <v>170262262</v>
      </c>
      <c r="G3" s="1">
        <v>584142000</v>
      </c>
      <c r="H3" s="1">
        <v>1112521000</v>
      </c>
      <c r="I3" s="1">
        <v>840071000</v>
      </c>
      <c r="J3" s="1">
        <v>1096746000</v>
      </c>
      <c r="K3" s="1">
        <v>1664089000</v>
      </c>
      <c r="L3" s="1">
        <v>22933649</v>
      </c>
      <c r="M3" s="1">
        <v>38649205</v>
      </c>
      <c r="N3" s="1">
        <v>86578772</v>
      </c>
      <c r="O3" s="1">
        <v>74468012</v>
      </c>
      <c r="P3" s="1">
        <v>318328062</v>
      </c>
      <c r="Q3" s="1"/>
      <c r="R3" s="1"/>
      <c r="S3" s="1"/>
      <c r="T3" s="1"/>
      <c r="U3" s="1">
        <v>20521223</v>
      </c>
      <c r="V3" s="1">
        <v>170262262</v>
      </c>
      <c r="W3" s="1">
        <v>208194258</v>
      </c>
      <c r="X3" s="1">
        <v>318328062</v>
      </c>
      <c r="Y3" s="1">
        <v>290320606</v>
      </c>
      <c r="Z3" s="1">
        <v>1664089000</v>
      </c>
      <c r="AA3" s="1">
        <v>2149102000</v>
      </c>
      <c r="AB3" s="1">
        <v>20521223</v>
      </c>
      <c r="AC3" s="1">
        <v>35800545</v>
      </c>
      <c r="AD3" s="1">
        <v>208194258</v>
      </c>
      <c r="AE3" s="1">
        <v>395861232</v>
      </c>
      <c r="AF3" s="1">
        <v>290320606</v>
      </c>
      <c r="AG3" s="1">
        <v>316263663</v>
      </c>
      <c r="AH3" s="1">
        <v>2149102000</v>
      </c>
      <c r="AI3" s="1">
        <v>2750316000</v>
      </c>
      <c r="AJ3" s="1">
        <v>35800545</v>
      </c>
      <c r="AK3" s="1">
        <v>79159451</v>
      </c>
      <c r="AL3" s="332">
        <v>407968843</v>
      </c>
      <c r="AM3" s="332">
        <v>407504113</v>
      </c>
      <c r="AN3" s="332">
        <v>93496461</v>
      </c>
      <c r="AO3" s="332">
        <v>197118179</v>
      </c>
      <c r="AP3" s="332">
        <v>2629742000</v>
      </c>
      <c r="AQ3" s="332">
        <v>2104911000</v>
      </c>
      <c r="AR3" s="332">
        <v>80106010</v>
      </c>
      <c r="AS3" s="332">
        <v>106854252</v>
      </c>
      <c r="AT3" s="1">
        <v>389852166</v>
      </c>
      <c r="AU3" s="1">
        <v>352996101</v>
      </c>
      <c r="AV3" s="449">
        <v>197118179</v>
      </c>
      <c r="AW3" s="449">
        <v>175046391</v>
      </c>
      <c r="AX3" s="1">
        <v>2104911000</v>
      </c>
      <c r="AY3" s="1">
        <v>2648679000</v>
      </c>
      <c r="AZ3" s="1">
        <v>106869688</v>
      </c>
      <c r="BA3" s="1">
        <v>124794018</v>
      </c>
      <c r="BB3" s="1">
        <v>352996101</v>
      </c>
      <c r="BC3" s="1">
        <v>285957797</v>
      </c>
      <c r="BD3" s="34">
        <v>175046391</v>
      </c>
      <c r="BE3" s="34">
        <v>194709850</v>
      </c>
      <c r="BF3" s="1">
        <v>2648679261</v>
      </c>
      <c r="BG3" s="1">
        <v>3059567628</v>
      </c>
      <c r="BH3" s="1">
        <v>175046391</v>
      </c>
      <c r="BI3" s="1">
        <v>194709850</v>
      </c>
      <c r="BJ3" s="332">
        <v>285957193</v>
      </c>
      <c r="BK3" s="332">
        <v>237552910</v>
      </c>
      <c r="BL3" s="354">
        <v>66735177</v>
      </c>
      <c r="BM3" s="354">
        <v>149266406</v>
      </c>
      <c r="BN3" s="332">
        <v>3059567628</v>
      </c>
      <c r="BO3" s="332">
        <v>3624761792</v>
      </c>
      <c r="BP3" s="354">
        <v>194709850</v>
      </c>
      <c r="BQ3" s="332">
        <v>179178023</v>
      </c>
      <c r="BR3" s="504">
        <v>251360313</v>
      </c>
      <c r="BS3" s="504">
        <v>188433242</v>
      </c>
      <c r="BT3" s="504">
        <v>553271052</v>
      </c>
      <c r="BU3" s="504">
        <v>416993717</v>
      </c>
      <c r="BV3" s="504">
        <v>5388983510</v>
      </c>
      <c r="BW3" s="504">
        <v>2811903739</v>
      </c>
      <c r="BX3" s="504">
        <v>48304047</v>
      </c>
      <c r="BY3" s="504">
        <v>76172592</v>
      </c>
      <c r="BZ3" s="503">
        <v>250447708</v>
      </c>
      <c r="CA3" s="503">
        <v>123488532</v>
      </c>
      <c r="CB3" s="503">
        <v>122146581</v>
      </c>
      <c r="CC3" s="503">
        <v>107244261</v>
      </c>
      <c r="CD3" s="504">
        <v>188433242</v>
      </c>
      <c r="CE3" s="504">
        <v>267235162</v>
      </c>
      <c r="CF3" s="504">
        <v>416993717</v>
      </c>
      <c r="CG3" s="504">
        <v>599501377</v>
      </c>
      <c r="CH3" s="504">
        <v>2811903739</v>
      </c>
      <c r="CI3" s="504">
        <v>4538185462</v>
      </c>
      <c r="CJ3" s="504">
        <v>76172592</v>
      </c>
      <c r="CK3" s="504">
        <v>117339018</v>
      </c>
      <c r="CL3" s="503">
        <v>123488532</v>
      </c>
      <c r="CM3" s="503">
        <v>307236280</v>
      </c>
      <c r="CN3" s="503">
        <v>107244261</v>
      </c>
      <c r="CO3" s="503">
        <v>147381103</v>
      </c>
      <c r="CP3" s="489">
        <v>4164545964000</v>
      </c>
      <c r="CQ3" s="496">
        <v>4750844326000</v>
      </c>
      <c r="CR3" s="497">
        <v>924846233000</v>
      </c>
      <c r="CS3" s="496">
        <v>1050873227000</v>
      </c>
      <c r="CT3" s="497">
        <v>303966779000</v>
      </c>
      <c r="CU3" s="496">
        <v>256024917000</v>
      </c>
      <c r="CV3" s="497">
        <v>208554442000</v>
      </c>
      <c r="CW3" s="496">
        <v>198127313000</v>
      </c>
      <c r="CX3" s="497">
        <v>72564699000</v>
      </c>
      <c r="CY3" s="496">
        <v>93250250000</v>
      </c>
    </row>
    <row r="4" spans="1:103" ht="15.75" thickBot="1" x14ac:dyDescent="0.3">
      <c r="A4" s="6" t="s">
        <v>8</v>
      </c>
      <c r="B4" s="1">
        <v>19310972</v>
      </c>
      <c r="C4" s="1">
        <v>48779804</v>
      </c>
      <c r="D4" s="1">
        <v>51941718</v>
      </c>
      <c r="E4" s="1">
        <v>28229426</v>
      </c>
      <c r="F4" s="1">
        <v>3878234</v>
      </c>
      <c r="G4" s="1">
        <v>157364000</v>
      </c>
      <c r="H4" s="1">
        <v>154210000</v>
      </c>
      <c r="I4" s="1">
        <v>1716311000</v>
      </c>
      <c r="J4" s="1">
        <v>1780229000</v>
      </c>
      <c r="K4" s="1">
        <v>2115655000</v>
      </c>
      <c r="L4" s="1">
        <v>2033459</v>
      </c>
      <c r="M4" s="1">
        <v>2023862</v>
      </c>
      <c r="N4" s="1">
        <v>1998013</v>
      </c>
      <c r="O4" s="1">
        <v>11635774</v>
      </c>
      <c r="P4" s="1">
        <v>21656119</v>
      </c>
      <c r="Q4" s="1"/>
      <c r="R4" s="1"/>
      <c r="S4" s="1"/>
      <c r="T4" s="1"/>
      <c r="U4" s="1">
        <v>660386</v>
      </c>
      <c r="V4" s="1">
        <v>3878234</v>
      </c>
      <c r="W4" s="1">
        <v>4059830</v>
      </c>
      <c r="X4" s="1">
        <v>21656119</v>
      </c>
      <c r="Y4" s="1">
        <v>24719436</v>
      </c>
      <c r="Z4" s="1">
        <v>2115655000</v>
      </c>
      <c r="AA4" s="1">
        <v>2526584000</v>
      </c>
      <c r="AB4" s="1">
        <v>660386</v>
      </c>
      <c r="AC4" s="1">
        <v>2189488</v>
      </c>
      <c r="AD4" s="1">
        <v>4059830</v>
      </c>
      <c r="AE4" s="1">
        <v>1988553</v>
      </c>
      <c r="AF4" s="1">
        <v>24719436</v>
      </c>
      <c r="AG4" s="1">
        <v>21714795</v>
      </c>
      <c r="AH4" s="1">
        <v>2526584000</v>
      </c>
      <c r="AI4" s="1">
        <v>3974452000</v>
      </c>
      <c r="AJ4" s="1">
        <v>2189488</v>
      </c>
      <c r="AK4" s="1">
        <v>3901474</v>
      </c>
      <c r="AL4" s="332">
        <v>25623858</v>
      </c>
      <c r="AM4" s="332">
        <v>35899727</v>
      </c>
      <c r="AN4" s="332">
        <v>29096211</v>
      </c>
      <c r="AO4" s="332">
        <v>16762724</v>
      </c>
      <c r="AP4" s="332">
        <v>5016952000</v>
      </c>
      <c r="AQ4" s="332">
        <v>8578646000</v>
      </c>
      <c r="AR4" s="332">
        <v>3901474</v>
      </c>
      <c r="AS4" s="332">
        <v>6546884</v>
      </c>
      <c r="AT4" s="1">
        <v>35899727</v>
      </c>
      <c r="AU4" s="1">
        <v>29571916</v>
      </c>
      <c r="AV4" s="1">
        <v>16762724</v>
      </c>
      <c r="AW4" s="1">
        <v>14859651</v>
      </c>
      <c r="AX4" s="1">
        <v>8578646000</v>
      </c>
      <c r="AY4" s="1">
        <v>8532321000</v>
      </c>
      <c r="AZ4" s="1">
        <v>6546884</v>
      </c>
      <c r="BA4" s="1">
        <v>13586595</v>
      </c>
      <c r="BB4" s="1">
        <v>29571916</v>
      </c>
      <c r="BC4" s="1">
        <v>19180208</v>
      </c>
      <c r="BD4" s="34">
        <v>14859651</v>
      </c>
      <c r="BE4" s="34">
        <v>14317695</v>
      </c>
      <c r="BF4" s="1">
        <v>8532320838</v>
      </c>
      <c r="BG4" s="1">
        <v>9489761218</v>
      </c>
      <c r="BH4" s="1">
        <v>14859651</v>
      </c>
      <c r="BI4" s="1">
        <v>14317695</v>
      </c>
      <c r="BJ4" s="332">
        <v>19180208</v>
      </c>
      <c r="BK4" s="332">
        <v>12680937</v>
      </c>
      <c r="BL4" s="354">
        <v>51735151</v>
      </c>
      <c r="BM4" s="354">
        <v>69929839</v>
      </c>
      <c r="BN4" s="332">
        <v>9489761218</v>
      </c>
      <c r="BO4" s="332">
        <v>11385313755</v>
      </c>
      <c r="BP4" s="354">
        <v>14317695</v>
      </c>
      <c r="BQ4" s="332">
        <v>11742856</v>
      </c>
      <c r="BR4" s="506">
        <v>151003963</v>
      </c>
      <c r="BS4" s="506">
        <v>156511950</v>
      </c>
      <c r="BT4" s="506">
        <v>169201281</v>
      </c>
      <c r="BU4" s="506">
        <v>11399936</v>
      </c>
      <c r="BV4" s="506">
        <v>13109365546</v>
      </c>
      <c r="BW4" s="506">
        <v>13690668115</v>
      </c>
      <c r="BX4" s="506">
        <v>321410927</v>
      </c>
      <c r="BY4" s="506">
        <v>209821483</v>
      </c>
      <c r="BZ4" s="505">
        <v>1506115534</v>
      </c>
      <c r="CA4" s="505">
        <v>1529341118</v>
      </c>
      <c r="CB4" s="505">
        <v>529548844</v>
      </c>
      <c r="CC4" s="505">
        <v>496219513</v>
      </c>
      <c r="CD4" s="506">
        <v>156511950</v>
      </c>
      <c r="CE4" s="506">
        <v>229769761</v>
      </c>
      <c r="CF4" s="506">
        <v>11399936</v>
      </c>
      <c r="CG4" s="506">
        <v>10603409</v>
      </c>
      <c r="CH4" s="506">
        <v>13690668115</v>
      </c>
      <c r="CI4" s="506">
        <v>6505495231</v>
      </c>
      <c r="CJ4" s="506">
        <v>209821483</v>
      </c>
      <c r="CK4" s="506">
        <v>7690123</v>
      </c>
      <c r="CL4" s="505">
        <v>1529341118</v>
      </c>
      <c r="CM4" s="505">
        <v>2704849600</v>
      </c>
      <c r="CN4" s="505">
        <v>496219513</v>
      </c>
      <c r="CO4" s="505">
        <v>475246487</v>
      </c>
      <c r="CP4" s="489">
        <v>13722425274000</v>
      </c>
      <c r="CQ4" s="496">
        <v>14187166367000</v>
      </c>
      <c r="CR4" s="496">
        <v>16735590000</v>
      </c>
      <c r="CS4" s="496">
        <v>20416358000</v>
      </c>
      <c r="CT4" s="496">
        <v>505789358000</v>
      </c>
      <c r="CU4" s="496">
        <v>324863106000</v>
      </c>
      <c r="CV4" s="496">
        <v>485117377000</v>
      </c>
      <c r="CW4" s="496">
        <v>407705021000</v>
      </c>
      <c r="CX4" s="496">
        <v>10337846000</v>
      </c>
      <c r="CY4" s="496">
        <v>10146016000</v>
      </c>
    </row>
    <row r="5" spans="1:103" ht="15.75" thickBot="1" x14ac:dyDescent="0.3">
      <c r="A5" s="6" t="s">
        <v>9</v>
      </c>
      <c r="B5" s="1">
        <v>46993980</v>
      </c>
      <c r="C5" s="1">
        <v>1049982</v>
      </c>
      <c r="D5" s="1">
        <v>928510</v>
      </c>
      <c r="E5" s="1">
        <v>41549395</v>
      </c>
      <c r="F5" s="1">
        <v>50808508</v>
      </c>
      <c r="G5" s="1">
        <v>1618219000</v>
      </c>
      <c r="H5" s="1">
        <v>1740072000</v>
      </c>
      <c r="I5" s="1">
        <v>1397254000</v>
      </c>
      <c r="J5" s="1">
        <v>1575872000</v>
      </c>
      <c r="K5" s="1">
        <v>1100742000</v>
      </c>
      <c r="L5" s="1">
        <v>41432732</v>
      </c>
      <c r="M5" s="1">
        <v>93972414</v>
      </c>
      <c r="N5" s="1">
        <v>103396298</v>
      </c>
      <c r="O5" s="1">
        <v>112505588</v>
      </c>
      <c r="P5" s="1">
        <v>38747264</v>
      </c>
      <c r="Q5" s="1"/>
      <c r="R5" s="1"/>
      <c r="S5" s="1"/>
      <c r="T5" s="1"/>
      <c r="U5" s="1">
        <v>15063770</v>
      </c>
      <c r="V5" s="1">
        <v>50808508</v>
      </c>
      <c r="W5" s="1">
        <v>49080473</v>
      </c>
      <c r="X5" s="1">
        <v>38747264</v>
      </c>
      <c r="Y5" s="1">
        <v>48907746</v>
      </c>
      <c r="Z5" s="1">
        <v>1100742000</v>
      </c>
      <c r="AA5" s="1">
        <v>1122631000</v>
      </c>
      <c r="AB5" s="1">
        <v>15063770</v>
      </c>
      <c r="AC5" s="1">
        <v>13230118</v>
      </c>
      <c r="AD5" s="10">
        <v>49080473</v>
      </c>
      <c r="AE5" s="280">
        <v>87321038</v>
      </c>
      <c r="AF5" s="10">
        <v>48907746</v>
      </c>
      <c r="AG5" s="10">
        <v>30011669</v>
      </c>
      <c r="AH5" s="10">
        <v>1122631000</v>
      </c>
      <c r="AI5" s="280">
        <v>1486572000</v>
      </c>
      <c r="AJ5" s="10">
        <v>13230118</v>
      </c>
      <c r="AK5" s="10">
        <v>14188893</v>
      </c>
      <c r="AL5" s="333">
        <v>154991103</v>
      </c>
      <c r="AM5" s="333">
        <v>195576900</v>
      </c>
      <c r="AN5" s="333">
        <v>151889540</v>
      </c>
      <c r="AO5" s="333">
        <v>198312167</v>
      </c>
      <c r="AP5" s="333">
        <v>1202534000</v>
      </c>
      <c r="AQ5" s="333">
        <v>2608264000</v>
      </c>
      <c r="AR5" s="333">
        <v>12793469</v>
      </c>
      <c r="AS5" s="333">
        <v>20389140</v>
      </c>
      <c r="AT5" s="10">
        <v>195576900</v>
      </c>
      <c r="AU5" s="10">
        <v>113377314</v>
      </c>
      <c r="AV5" s="10">
        <v>198312167</v>
      </c>
      <c r="AW5" s="10">
        <v>204303744</v>
      </c>
      <c r="AX5" s="10">
        <v>1919351000</v>
      </c>
      <c r="AY5" s="10">
        <v>1746388000</v>
      </c>
      <c r="AZ5" s="10">
        <v>20389140</v>
      </c>
      <c r="BA5" s="10">
        <v>25916643</v>
      </c>
      <c r="BB5" s="10">
        <v>97991303</v>
      </c>
      <c r="BC5" s="10">
        <v>94267400</v>
      </c>
      <c r="BD5" s="56">
        <v>204303744</v>
      </c>
      <c r="BE5" s="56">
        <v>204745776</v>
      </c>
      <c r="BF5" s="10">
        <v>1746388316</v>
      </c>
      <c r="BG5" s="10">
        <v>1680251494</v>
      </c>
      <c r="BH5" s="10">
        <v>204303744</v>
      </c>
      <c r="BI5" s="10">
        <v>204745776</v>
      </c>
      <c r="BJ5" s="333">
        <f>113447608-BJ4-396</f>
        <v>94267004</v>
      </c>
      <c r="BK5" s="333">
        <f>99594592-BK4</f>
        <v>86913655</v>
      </c>
      <c r="BL5" s="357">
        <f>209825720-BL4</f>
        <v>158090569</v>
      </c>
      <c r="BM5" s="357">
        <f>220844466-BM4</f>
        <v>150914627</v>
      </c>
      <c r="BN5" s="333">
        <f>11265643532-BN4</f>
        <v>1775882314</v>
      </c>
      <c r="BO5" s="333">
        <f>13416288766-BO4</f>
        <v>2030975011</v>
      </c>
      <c r="BP5" s="357">
        <f>219063471-BP4</f>
        <v>204745776</v>
      </c>
      <c r="BQ5" s="333">
        <f>194003682-BQ4</f>
        <v>182260826</v>
      </c>
    </row>
    <row r="6" spans="1:103" ht="15.75" thickBot="1" x14ac:dyDescent="0.3">
      <c r="A6" s="6" t="s">
        <v>12</v>
      </c>
      <c r="B6" s="1">
        <v>149846380</v>
      </c>
      <c r="C6" s="1">
        <v>164307377</v>
      </c>
      <c r="D6" s="1">
        <v>160364727</v>
      </c>
      <c r="E6" s="1">
        <v>216844651</v>
      </c>
      <c r="F6" s="1">
        <v>209503832</v>
      </c>
      <c r="G6" s="1">
        <v>1132090000</v>
      </c>
      <c r="H6" s="1">
        <v>1426414000</v>
      </c>
      <c r="I6" s="1">
        <v>1415588000</v>
      </c>
      <c r="J6" s="1">
        <v>0</v>
      </c>
      <c r="K6" s="1">
        <v>1742496000</v>
      </c>
      <c r="L6" s="1">
        <v>60026994</v>
      </c>
      <c r="M6" s="1">
        <v>128994917</v>
      </c>
      <c r="N6" s="1">
        <v>290541397</v>
      </c>
      <c r="O6" s="1">
        <v>180831894</v>
      </c>
      <c r="P6" s="1">
        <v>262215978</v>
      </c>
      <c r="Q6" s="1"/>
      <c r="R6" s="1"/>
      <c r="S6" s="1"/>
      <c r="T6" s="1"/>
      <c r="U6" s="1">
        <v>39307008</v>
      </c>
      <c r="V6" s="1">
        <v>209503832</v>
      </c>
      <c r="W6" s="1">
        <v>205933723</v>
      </c>
      <c r="X6" s="1">
        <v>262215978</v>
      </c>
      <c r="Y6" s="1">
        <v>267600486</v>
      </c>
      <c r="Z6" s="1">
        <v>1742496000</v>
      </c>
      <c r="AA6" s="1">
        <v>2171606000</v>
      </c>
      <c r="AB6" s="1">
        <v>39307008</v>
      </c>
      <c r="AC6" s="1">
        <v>43041389</v>
      </c>
      <c r="AD6" s="1">
        <v>205933723</v>
      </c>
      <c r="AE6" s="1">
        <v>441496713</v>
      </c>
      <c r="AF6" s="1">
        <v>267600486</v>
      </c>
      <c r="AG6" s="1">
        <v>335672170</v>
      </c>
      <c r="AH6" s="1">
        <v>2171606000</v>
      </c>
      <c r="AI6" s="1">
        <v>3413631000</v>
      </c>
      <c r="AJ6" s="1">
        <v>43041389</v>
      </c>
      <c r="AK6" s="1">
        <v>77335726</v>
      </c>
      <c r="AL6" s="332">
        <v>406096036</v>
      </c>
      <c r="AM6" s="332">
        <v>530393414</v>
      </c>
      <c r="AN6" s="332">
        <v>107783755</v>
      </c>
      <c r="AO6" s="332">
        <v>200673550</v>
      </c>
      <c r="AP6" s="332">
        <v>3710109000</v>
      </c>
      <c r="AQ6" s="332">
        <v>5599226000</v>
      </c>
      <c r="AR6" s="332">
        <v>77335726</v>
      </c>
      <c r="AS6" s="332">
        <v>112632348</v>
      </c>
      <c r="AT6" s="1">
        <v>569136091</v>
      </c>
      <c r="AU6" s="1">
        <v>432342289</v>
      </c>
      <c r="AV6" s="1">
        <v>200673550</v>
      </c>
      <c r="AW6" s="1">
        <v>232353311</v>
      </c>
      <c r="AX6" s="1">
        <v>5599226000</v>
      </c>
      <c r="AY6" s="1">
        <v>6205689000</v>
      </c>
      <c r="AZ6" s="1">
        <v>112647784</v>
      </c>
      <c r="BA6" s="1">
        <v>144663557</v>
      </c>
      <c r="BB6" s="1">
        <v>432342289</v>
      </c>
      <c r="BC6" s="1">
        <v>369454773</v>
      </c>
      <c r="BD6" s="34">
        <v>232353311</v>
      </c>
      <c r="BE6" s="34">
        <v>243644991</v>
      </c>
      <c r="BF6" s="1">
        <v>6205688932</v>
      </c>
      <c r="BG6" s="1">
        <v>6674232174</v>
      </c>
      <c r="BH6" s="1">
        <v>232353311</v>
      </c>
      <c r="BI6" s="1">
        <v>243644991</v>
      </c>
      <c r="BJ6" s="332">
        <v>369454773</v>
      </c>
      <c r="BK6" s="332">
        <v>305819966</v>
      </c>
      <c r="BL6" s="354">
        <v>168585377</v>
      </c>
      <c r="BM6" s="354">
        <v>310029293</v>
      </c>
      <c r="BN6" s="332">
        <v>6674232174</v>
      </c>
      <c r="BO6" s="332">
        <v>7815307583</v>
      </c>
      <c r="BP6" s="354">
        <v>243644991</v>
      </c>
      <c r="BQ6" s="332">
        <v>224047483</v>
      </c>
      <c r="BR6" s="504">
        <v>325115867</v>
      </c>
      <c r="BS6" s="504">
        <v>338436111</v>
      </c>
      <c r="BT6" s="503">
        <v>343325076</v>
      </c>
      <c r="BU6" s="509">
        <v>402125839</v>
      </c>
      <c r="BV6" s="504">
        <v>9900351865</v>
      </c>
      <c r="BW6" s="504">
        <v>13646835951</v>
      </c>
      <c r="BX6" s="504">
        <v>54866523</v>
      </c>
      <c r="BY6" s="504">
        <v>156473436</v>
      </c>
      <c r="BZ6" s="503">
        <v>429575146</v>
      </c>
      <c r="CA6" s="503">
        <v>359235930</v>
      </c>
      <c r="CB6" s="503">
        <v>121345799</v>
      </c>
      <c r="CC6" s="503">
        <v>55575809</v>
      </c>
      <c r="CD6" s="504">
        <v>338436111</v>
      </c>
      <c r="CE6" s="504">
        <v>400170624</v>
      </c>
      <c r="CF6" s="509">
        <v>402125839</v>
      </c>
      <c r="CG6" s="509">
        <v>632801561</v>
      </c>
      <c r="CH6" s="504">
        <v>13646835951</v>
      </c>
      <c r="CI6" s="504">
        <v>9158329626</v>
      </c>
      <c r="CJ6" s="504">
        <v>156473436</v>
      </c>
      <c r="CK6" s="504">
        <v>177665680</v>
      </c>
      <c r="CL6" s="503">
        <v>359235930</v>
      </c>
      <c r="CM6" s="503">
        <v>679566639</v>
      </c>
      <c r="CN6" s="503">
        <v>55575809</v>
      </c>
      <c r="CO6" s="503">
        <v>81490950</v>
      </c>
      <c r="CP6" s="489">
        <v>10308873170000</v>
      </c>
      <c r="CQ6" s="496">
        <v>9524338678000</v>
      </c>
      <c r="CR6" s="496">
        <v>1424364780000</v>
      </c>
      <c r="CS6" s="496">
        <v>1037054928000</v>
      </c>
      <c r="CT6" s="496">
        <v>544935559000</v>
      </c>
      <c r="CU6" s="496">
        <v>381554843000</v>
      </c>
      <c r="CV6" s="496">
        <v>79091683000</v>
      </c>
      <c r="CW6" s="496">
        <v>88668985000</v>
      </c>
      <c r="CX6" s="496">
        <v>135780557000</v>
      </c>
      <c r="CY6" s="496">
        <v>139422536000</v>
      </c>
    </row>
    <row r="7" spans="1:103" ht="15.75" thickBot="1" x14ac:dyDescent="0.3">
      <c r="A7" s="7" t="s">
        <v>13</v>
      </c>
      <c r="B7" s="1">
        <v>34132206</v>
      </c>
      <c r="C7" s="1">
        <v>8629676</v>
      </c>
      <c r="D7" s="1">
        <v>563989</v>
      </c>
      <c r="E7" s="1">
        <v>1850698</v>
      </c>
      <c r="F7" s="1">
        <v>1304667</v>
      </c>
      <c r="G7" s="1">
        <v>500268000</v>
      </c>
      <c r="H7" s="1">
        <v>882276000</v>
      </c>
      <c r="I7" s="1">
        <v>1930174000</v>
      </c>
      <c r="J7" s="1">
        <v>2295077000</v>
      </c>
      <c r="K7" s="1">
        <v>2056925000</v>
      </c>
      <c r="L7" s="1">
        <v>2582707</v>
      </c>
      <c r="M7" s="1">
        <v>2494921</v>
      </c>
      <c r="N7" s="1">
        <v>2494921</v>
      </c>
      <c r="O7" s="1">
        <v>3838844</v>
      </c>
      <c r="P7" s="1"/>
      <c r="Q7" s="1"/>
      <c r="R7" s="1"/>
      <c r="S7" s="1"/>
      <c r="T7" s="1"/>
      <c r="U7" s="1">
        <v>2090208</v>
      </c>
      <c r="V7" s="1">
        <v>1304667</v>
      </c>
      <c r="W7" s="1">
        <v>765077</v>
      </c>
      <c r="X7" s="1"/>
      <c r="Y7" s="1">
        <v>4259106</v>
      </c>
      <c r="Z7" s="1">
        <v>2056925000</v>
      </c>
      <c r="AA7" s="1">
        <v>2342579000</v>
      </c>
      <c r="AB7" s="1">
        <v>2090208</v>
      </c>
      <c r="AC7" s="1">
        <v>3291956</v>
      </c>
      <c r="AD7" s="1">
        <v>765077</v>
      </c>
      <c r="AE7" s="1">
        <v>787663</v>
      </c>
      <c r="AF7" s="1">
        <v>4259106</v>
      </c>
      <c r="AG7" s="1">
        <v>3146624</v>
      </c>
      <c r="AH7" s="1">
        <v>2342579000</v>
      </c>
      <c r="AI7" s="1">
        <v>3736384000</v>
      </c>
      <c r="AJ7" s="1">
        <v>3291956</v>
      </c>
      <c r="AK7" s="1">
        <v>3777406</v>
      </c>
      <c r="AL7" s="332">
        <v>99914173</v>
      </c>
      <c r="AM7" s="332">
        <v>149805603</v>
      </c>
      <c r="AN7" s="332">
        <v>8263663</v>
      </c>
      <c r="AO7" s="332">
        <v>8107777</v>
      </c>
      <c r="AP7" s="332">
        <v>3892133000</v>
      </c>
      <c r="AQ7" s="332">
        <v>6255185000</v>
      </c>
      <c r="AR7" s="332">
        <v>4122058</v>
      </c>
      <c r="AS7" s="332">
        <v>2899800</v>
      </c>
      <c r="AT7" s="1">
        <v>93410980</v>
      </c>
      <c r="AU7" s="1">
        <v>42757068</v>
      </c>
      <c r="AV7" s="1">
        <v>8107777</v>
      </c>
      <c r="AW7" s="1">
        <v>9187074</v>
      </c>
      <c r="AX7" s="1">
        <v>5566272000</v>
      </c>
      <c r="AY7" s="1">
        <v>5110278000</v>
      </c>
      <c r="AZ7" s="1">
        <v>2899800</v>
      </c>
      <c r="BA7" s="1">
        <v>6022977</v>
      </c>
      <c r="BB7" s="1">
        <v>27371057</v>
      </c>
      <c r="BC7" s="1">
        <v>6108202</v>
      </c>
      <c r="BD7" s="34">
        <v>9187074</v>
      </c>
      <c r="BE7" s="34">
        <v>9310382</v>
      </c>
      <c r="BF7" s="1">
        <v>5110278146</v>
      </c>
      <c r="BG7" s="1">
        <v>5913096736</v>
      </c>
      <c r="BH7" s="1">
        <v>9187074</v>
      </c>
      <c r="BI7" s="1">
        <v>9310382</v>
      </c>
      <c r="BJ7" s="332">
        <f>4817482+1290720</f>
        <v>6108202</v>
      </c>
      <c r="BK7" s="332">
        <f>3899382+1638558</f>
        <v>5537940</v>
      </c>
      <c r="BL7" s="354">
        <v>37567868</v>
      </c>
      <c r="BM7" s="354">
        <v>55017451</v>
      </c>
      <c r="BN7" s="332">
        <v>6008727556</v>
      </c>
      <c r="BO7" s="332">
        <v>7297609239</v>
      </c>
      <c r="BP7" s="354">
        <v>9310382</v>
      </c>
      <c r="BQ7" s="332">
        <v>8440666</v>
      </c>
      <c r="BR7" s="504">
        <v>42865391</v>
      </c>
      <c r="BS7" s="504">
        <v>17070678</v>
      </c>
      <c r="BT7" s="503">
        <v>7519664</v>
      </c>
      <c r="BU7" s="509">
        <v>10431550</v>
      </c>
      <c r="BV7" s="506">
        <v>8432803790</v>
      </c>
      <c r="BW7" s="506">
        <v>3878731702</v>
      </c>
      <c r="BX7" s="506">
        <v>312610569</v>
      </c>
      <c r="BY7" s="506">
        <v>123553684</v>
      </c>
      <c r="BZ7" s="505">
        <v>1300928679</v>
      </c>
      <c r="CA7" s="505">
        <v>1643112114</v>
      </c>
      <c r="CB7" s="505">
        <v>238781353</v>
      </c>
      <c r="CC7" s="505">
        <v>328374641</v>
      </c>
      <c r="CD7" s="504">
        <v>17070678</v>
      </c>
      <c r="CE7" s="504">
        <v>79704965</v>
      </c>
      <c r="CF7" s="509">
        <v>10431550</v>
      </c>
      <c r="CG7" s="511">
        <v>48281900</v>
      </c>
      <c r="CH7" s="506">
        <v>3878731702</v>
      </c>
      <c r="CI7" s="506">
        <v>2124313289</v>
      </c>
      <c r="CJ7" s="506">
        <v>123553684</v>
      </c>
      <c r="CK7" s="506">
        <v>6224990</v>
      </c>
      <c r="CL7" s="505">
        <v>1643112114</v>
      </c>
      <c r="CM7" s="505">
        <v>2731947229</v>
      </c>
      <c r="CN7" s="505">
        <v>328374641</v>
      </c>
      <c r="CO7" s="505">
        <v>329911509</v>
      </c>
      <c r="CP7" s="490">
        <v>9024779254000</v>
      </c>
      <c r="CQ7" s="492">
        <v>10520556255000</v>
      </c>
      <c r="CR7" s="492">
        <v>10876565000</v>
      </c>
      <c r="CS7" s="492">
        <v>10990539000</v>
      </c>
      <c r="CT7" s="492">
        <v>278264130000</v>
      </c>
      <c r="CU7" s="492">
        <v>162276455000</v>
      </c>
      <c r="CV7" s="492">
        <v>486549404000</v>
      </c>
      <c r="CW7" s="492">
        <v>400119933000</v>
      </c>
      <c r="CX7" s="492">
        <v>6580974000</v>
      </c>
      <c r="CY7" s="492">
        <v>34130901000</v>
      </c>
    </row>
    <row r="8" spans="1:103" ht="15.75" thickBot="1" x14ac:dyDescent="0.3">
      <c r="A8" s="5" t="s">
        <v>15</v>
      </c>
      <c r="B8" s="2">
        <v>183978586</v>
      </c>
      <c r="C8" s="2">
        <v>172937053</v>
      </c>
      <c r="D8" s="2">
        <v>160928716</v>
      </c>
      <c r="E8" s="2">
        <v>218695349</v>
      </c>
      <c r="F8" s="2">
        <v>210808499</v>
      </c>
      <c r="G8" s="2">
        <v>1632358000</v>
      </c>
      <c r="H8" s="2">
        <v>2308690000</v>
      </c>
      <c r="I8" s="2">
        <v>3345762000</v>
      </c>
      <c r="J8" s="2">
        <v>3584190000</v>
      </c>
      <c r="K8" s="2">
        <v>3799421000</v>
      </c>
      <c r="L8" s="2">
        <v>62609701</v>
      </c>
      <c r="M8" s="2">
        <v>131489838</v>
      </c>
      <c r="N8" s="2">
        <v>293036318</v>
      </c>
      <c r="O8" s="2">
        <v>184670738</v>
      </c>
      <c r="P8" s="2">
        <v>332229224</v>
      </c>
      <c r="Q8" s="2">
        <v>0</v>
      </c>
      <c r="R8" s="2">
        <v>0</v>
      </c>
      <c r="S8" s="2">
        <v>0</v>
      </c>
      <c r="T8" s="2">
        <v>0</v>
      </c>
      <c r="U8" s="2">
        <v>41397216</v>
      </c>
      <c r="V8" s="2">
        <v>210808499</v>
      </c>
      <c r="W8" s="2">
        <v>206698800</v>
      </c>
      <c r="X8" s="2">
        <v>332229224</v>
      </c>
      <c r="Y8" s="2">
        <v>271859592</v>
      </c>
      <c r="Z8" s="2">
        <v>3799421000</v>
      </c>
      <c r="AA8" s="2">
        <v>4514185000</v>
      </c>
      <c r="AB8" s="2">
        <v>41397216</v>
      </c>
      <c r="AC8" s="2">
        <v>46333345</v>
      </c>
      <c r="AD8" s="279">
        <v>206698800</v>
      </c>
      <c r="AE8" s="279">
        <v>442284376</v>
      </c>
      <c r="AF8" s="279">
        <v>271859592</v>
      </c>
      <c r="AG8" s="279">
        <v>338818794</v>
      </c>
      <c r="AH8" s="279">
        <v>4514185000</v>
      </c>
      <c r="AI8" s="279">
        <v>7150015000</v>
      </c>
      <c r="AJ8" s="279">
        <v>46333345</v>
      </c>
      <c r="AK8" s="279">
        <v>81113132</v>
      </c>
      <c r="AL8" s="334">
        <f t="shared" ref="AL8:AS8" si="0">SUM(AL6:AL7)</f>
        <v>506010209</v>
      </c>
      <c r="AM8" s="334">
        <f t="shared" si="0"/>
        <v>680199017</v>
      </c>
      <c r="AN8" s="334">
        <f t="shared" si="0"/>
        <v>116047418</v>
      </c>
      <c r="AO8" s="334">
        <f t="shared" si="0"/>
        <v>208781327</v>
      </c>
      <c r="AP8" s="334">
        <f t="shared" si="0"/>
        <v>7602242000</v>
      </c>
      <c r="AQ8" s="334">
        <f t="shared" si="0"/>
        <v>11854411000</v>
      </c>
      <c r="AR8" s="334">
        <f t="shared" si="0"/>
        <v>81457784</v>
      </c>
      <c r="AS8" s="334">
        <f t="shared" si="0"/>
        <v>115532148</v>
      </c>
      <c r="AT8" s="279">
        <v>662547071</v>
      </c>
      <c r="AU8" s="279">
        <v>475099357</v>
      </c>
      <c r="AV8" s="279">
        <v>208781327</v>
      </c>
      <c r="AW8" s="279">
        <v>241540385</v>
      </c>
      <c r="AX8" s="279">
        <v>11165498000</v>
      </c>
      <c r="AY8" s="279">
        <v>11315967000</v>
      </c>
      <c r="AZ8" s="279">
        <v>115547584</v>
      </c>
      <c r="BA8" s="279">
        <v>150686534</v>
      </c>
      <c r="BB8" s="279">
        <v>459713346</v>
      </c>
      <c r="BC8" s="279">
        <v>375562975</v>
      </c>
      <c r="BD8" s="279">
        <v>241540385</v>
      </c>
      <c r="BE8" s="279">
        <v>252955373</v>
      </c>
      <c r="BF8" s="279">
        <v>11315967078</v>
      </c>
      <c r="BG8" s="279">
        <v>12587328910</v>
      </c>
      <c r="BH8" s="279">
        <v>241540385</v>
      </c>
      <c r="BI8" s="279">
        <v>252955373</v>
      </c>
      <c r="BJ8" s="334">
        <f t="shared" ref="BJ8:BQ8" si="1">SUM(BJ6:BJ7)</f>
        <v>375562975</v>
      </c>
      <c r="BK8" s="334">
        <f t="shared" si="1"/>
        <v>311357906</v>
      </c>
      <c r="BL8" s="360">
        <f t="shared" si="1"/>
        <v>206153245</v>
      </c>
      <c r="BM8" s="360">
        <f t="shared" si="1"/>
        <v>365046744</v>
      </c>
      <c r="BN8" s="334">
        <f t="shared" si="1"/>
        <v>12682959730</v>
      </c>
      <c r="BO8" s="334">
        <f t="shared" si="1"/>
        <v>15112916822</v>
      </c>
      <c r="BP8" s="334">
        <f t="shared" si="1"/>
        <v>252955373</v>
      </c>
      <c r="BQ8" s="334">
        <f t="shared" si="1"/>
        <v>232488149</v>
      </c>
      <c r="CP8" s="498">
        <v>19333652424000</v>
      </c>
      <c r="CQ8" s="494">
        <v>20044894933000</v>
      </c>
      <c r="CR8" s="494">
        <v>1435241345000</v>
      </c>
      <c r="CS8" s="494">
        <v>1048045467000</v>
      </c>
      <c r="CT8" s="494">
        <v>823199689000</v>
      </c>
      <c r="CU8" s="494">
        <v>543831298000</v>
      </c>
      <c r="CV8" s="494">
        <v>565641087000</v>
      </c>
      <c r="CW8" s="494">
        <v>488788918000</v>
      </c>
      <c r="CX8" s="494">
        <v>142361531000</v>
      </c>
      <c r="CY8" s="494">
        <v>173553437000</v>
      </c>
    </row>
    <row r="9" spans="1:103" ht="15.75" thickBot="1" x14ac:dyDescent="0.3">
      <c r="A9" s="9" t="s">
        <v>188</v>
      </c>
      <c r="B9" s="10">
        <v>92338275</v>
      </c>
      <c r="C9" s="10">
        <v>92338275</v>
      </c>
      <c r="D9" s="10">
        <v>92338275</v>
      </c>
      <c r="E9" s="10">
        <v>6982568</v>
      </c>
      <c r="F9" s="10">
        <v>6982568</v>
      </c>
      <c r="G9" s="10">
        <v>8937000</v>
      </c>
      <c r="H9" s="10">
        <v>8937000</v>
      </c>
      <c r="I9" s="10">
        <v>8937000</v>
      </c>
      <c r="J9" s="10">
        <v>8937000</v>
      </c>
      <c r="K9" s="10">
        <v>8937000</v>
      </c>
      <c r="L9" s="10">
        <v>5251448</v>
      </c>
      <c r="M9" s="10">
        <v>5251448</v>
      </c>
      <c r="N9" s="10">
        <v>5253785</v>
      </c>
      <c r="O9" s="10">
        <v>5251468</v>
      </c>
      <c r="P9" s="10">
        <v>5251488</v>
      </c>
      <c r="Q9" s="10"/>
      <c r="R9" s="10"/>
      <c r="S9" s="10"/>
      <c r="T9" s="10"/>
      <c r="U9" s="10">
        <v>5983680</v>
      </c>
      <c r="V9" s="10">
        <v>6982568</v>
      </c>
      <c r="W9" s="10">
        <v>6982568</v>
      </c>
      <c r="X9" s="10">
        <v>5251488</v>
      </c>
      <c r="Y9" s="10">
        <v>5251518</v>
      </c>
      <c r="Z9" s="10">
        <v>8937000</v>
      </c>
      <c r="AA9" s="10">
        <v>8936000</v>
      </c>
      <c r="AB9" s="10">
        <v>5983680</v>
      </c>
      <c r="AC9" s="10">
        <v>6012960</v>
      </c>
      <c r="AD9" s="10">
        <v>6982568</v>
      </c>
      <c r="AE9" s="1">
        <v>6982568</v>
      </c>
      <c r="AF9" s="10">
        <v>5251518</v>
      </c>
      <c r="AG9" s="10">
        <v>5251528</v>
      </c>
      <c r="AH9" s="10">
        <v>8936000</v>
      </c>
      <c r="AI9" s="10">
        <v>8936000</v>
      </c>
      <c r="AJ9" s="10">
        <v>6012960</v>
      </c>
      <c r="AK9" s="10">
        <v>6012960</v>
      </c>
      <c r="AL9" s="332">
        <v>6982568</v>
      </c>
      <c r="AM9" s="332">
        <v>6982567</v>
      </c>
      <c r="AN9" s="333">
        <v>5251528</v>
      </c>
      <c r="AO9" s="333">
        <v>5251538</v>
      </c>
      <c r="AP9" s="333">
        <v>402836000</v>
      </c>
      <c r="AQ9" s="333">
        <v>402836000</v>
      </c>
      <c r="AR9" s="333">
        <v>6012960</v>
      </c>
      <c r="AS9" s="333">
        <v>6800000</v>
      </c>
      <c r="AT9" s="1">
        <v>6982568</v>
      </c>
      <c r="AU9" s="1">
        <v>7479681</v>
      </c>
      <c r="AV9" s="10">
        <v>5251538</v>
      </c>
      <c r="AW9" s="10">
        <v>5251538</v>
      </c>
      <c r="AX9" s="10">
        <v>402836000</v>
      </c>
      <c r="AY9" s="10">
        <v>402836000</v>
      </c>
      <c r="AZ9" s="10">
        <v>6800000</v>
      </c>
      <c r="BA9" s="10">
        <v>7157840</v>
      </c>
      <c r="BB9" s="56">
        <v>7479681</v>
      </c>
      <c r="BC9" s="56">
        <v>7479681</v>
      </c>
      <c r="BD9" s="10">
        <v>5251538</v>
      </c>
      <c r="BE9" s="10">
        <v>5251538</v>
      </c>
      <c r="BF9" s="10">
        <v>402835619</v>
      </c>
      <c r="BG9" s="10">
        <v>402835619</v>
      </c>
      <c r="BH9" s="10">
        <v>5251538</v>
      </c>
      <c r="BI9" s="10">
        <v>5251538</v>
      </c>
      <c r="BJ9" s="357">
        <v>7479681</v>
      </c>
      <c r="BK9" s="357">
        <v>7479681</v>
      </c>
      <c r="BL9" s="333">
        <v>8210720</v>
      </c>
      <c r="BM9" s="333">
        <v>8210720</v>
      </c>
      <c r="BN9" s="333">
        <v>402835619</v>
      </c>
      <c r="BO9" s="333">
        <v>402835619</v>
      </c>
      <c r="BP9" s="333">
        <v>5251538</v>
      </c>
      <c r="BQ9" s="333">
        <v>5251538</v>
      </c>
      <c r="BR9" s="505">
        <v>7479681</v>
      </c>
      <c r="BS9" s="511">
        <v>7479681</v>
      </c>
      <c r="BT9" s="505">
        <v>5251548</v>
      </c>
      <c r="BU9" s="511">
        <v>5251548</v>
      </c>
      <c r="BV9" s="505">
        <v>504906080</v>
      </c>
      <c r="BW9" s="505">
        <v>1071268580</v>
      </c>
      <c r="BX9" s="505">
        <v>5800000</v>
      </c>
      <c r="BY9" s="505">
        <v>5800000</v>
      </c>
      <c r="BZ9" s="505">
        <v>8210270</v>
      </c>
      <c r="CA9" s="505">
        <v>8210270</v>
      </c>
      <c r="CB9" s="512">
        <v>9587670</v>
      </c>
      <c r="CC9" s="512">
        <v>9587670</v>
      </c>
      <c r="CD9" s="511">
        <v>7479681</v>
      </c>
      <c r="CE9" s="511">
        <v>7479681</v>
      </c>
      <c r="CF9" s="511">
        <v>5251548</v>
      </c>
      <c r="CG9" s="511">
        <v>5251548</v>
      </c>
      <c r="CH9" s="505">
        <v>978134822</v>
      </c>
      <c r="CI9" s="505">
        <f>8936703+2604329245</f>
        <v>2613265948</v>
      </c>
      <c r="CJ9" s="505">
        <v>6168800</v>
      </c>
      <c r="CK9" s="505">
        <v>6168800</v>
      </c>
      <c r="CL9" s="505">
        <v>8210270</v>
      </c>
      <c r="CM9" s="512">
        <v>8210270</v>
      </c>
      <c r="CN9" s="512">
        <v>9587670</v>
      </c>
      <c r="CO9" s="512">
        <v>9587670</v>
      </c>
      <c r="CP9" s="499">
        <v>2604329245000</v>
      </c>
      <c r="CQ9" s="497">
        <v>2604329245000</v>
      </c>
      <c r="CR9" s="496">
        <v>5251548000</v>
      </c>
      <c r="CS9" s="496">
        <v>5251558000</v>
      </c>
      <c r="CT9" s="496">
        <v>7479681000</v>
      </c>
      <c r="CU9" s="496">
        <v>7479681000</v>
      </c>
      <c r="CV9" s="496">
        <v>9587670000</v>
      </c>
      <c r="CW9" s="496">
        <v>9587670000</v>
      </c>
      <c r="CX9" s="496">
        <v>6168800000</v>
      </c>
      <c r="CY9" s="496">
        <v>6168800000</v>
      </c>
    </row>
    <row r="10" spans="1:103" ht="15.75" thickBot="1" x14ac:dyDescent="0.3">
      <c r="A10" s="14" t="s">
        <v>18</v>
      </c>
      <c r="B10" s="15">
        <v>-67559963</v>
      </c>
      <c r="C10" s="15">
        <v>1356845</v>
      </c>
      <c r="D10" s="15">
        <v>-14992839</v>
      </c>
      <c r="E10" s="15">
        <v>6732929</v>
      </c>
      <c r="F10" s="15">
        <v>-1523894</v>
      </c>
      <c r="G10" s="15">
        <v>661725000</v>
      </c>
      <c r="H10" s="15">
        <v>555373000</v>
      </c>
      <c r="I10" s="15">
        <v>-10778000</v>
      </c>
      <c r="J10" s="15">
        <v>342917000</v>
      </c>
      <c r="K10" s="15">
        <v>385344000</v>
      </c>
      <c r="L10" s="15">
        <v>2401122</v>
      </c>
      <c r="M10" s="15">
        <v>-582691</v>
      </c>
      <c r="N10" s="15">
        <v>-104753176</v>
      </c>
      <c r="O10" s="15">
        <v>-130563279</v>
      </c>
      <c r="P10" s="15">
        <v>-252493730</v>
      </c>
      <c r="Q10" s="15"/>
      <c r="R10" s="15"/>
      <c r="S10" s="15"/>
      <c r="T10" s="15"/>
      <c r="U10" s="25">
        <v>-17504890</v>
      </c>
      <c r="V10" s="218">
        <v>-1523894</v>
      </c>
      <c r="W10" s="218">
        <v>40502005</v>
      </c>
      <c r="X10" s="218">
        <v>-252493730</v>
      </c>
      <c r="Y10" s="218">
        <v>-180203941</v>
      </c>
      <c r="Z10" s="218">
        <v>385344000</v>
      </c>
      <c r="AA10" s="218">
        <v>239710000</v>
      </c>
      <c r="AB10" s="218">
        <v>-17504890</v>
      </c>
      <c r="AC10" s="218">
        <v>-8828510</v>
      </c>
      <c r="AD10" s="272">
        <v>40502005</v>
      </c>
      <c r="AE10" s="277">
        <v>-13776007</v>
      </c>
      <c r="AF10" s="277">
        <v>-180203941</v>
      </c>
      <c r="AG10" s="277">
        <v>-98374913</v>
      </c>
      <c r="AH10" s="272">
        <v>239710000</v>
      </c>
      <c r="AI10" s="277">
        <v>-66606000</v>
      </c>
      <c r="AJ10" s="277">
        <v>-8828510</v>
      </c>
      <c r="AK10" s="272">
        <v>11249880</v>
      </c>
      <c r="AL10" s="336">
        <v>-26706998</v>
      </c>
      <c r="AM10" s="336">
        <v>-134625176</v>
      </c>
      <c r="AN10" s="336">
        <v>-67966404</v>
      </c>
      <c r="AO10" s="336">
        <v>-67085714</v>
      </c>
      <c r="AP10" s="337">
        <v>277620000</v>
      </c>
      <c r="AQ10" s="336">
        <v>-349646000</v>
      </c>
      <c r="AR10" s="337">
        <v>9941612</v>
      </c>
      <c r="AS10" s="337">
        <v>2914959</v>
      </c>
      <c r="AT10" s="277">
        <v>-134625131</v>
      </c>
      <c r="AU10" s="277">
        <v>-7443879</v>
      </c>
      <c r="AV10" s="277">
        <v>-67523051</v>
      </c>
      <c r="AW10" s="277">
        <v>-50742342</v>
      </c>
      <c r="AX10" s="277">
        <v>-349646000</v>
      </c>
      <c r="AY10" s="272">
        <v>159836000</v>
      </c>
      <c r="AZ10" s="272">
        <v>2914959</v>
      </c>
      <c r="BA10" s="277">
        <v>-19650956</v>
      </c>
      <c r="BB10" s="464">
        <v>-7443879</v>
      </c>
      <c r="BC10" s="464">
        <v>6733124</v>
      </c>
      <c r="BD10" s="464">
        <v>-50289456</v>
      </c>
      <c r="BE10" s="464">
        <v>8315604</v>
      </c>
      <c r="BF10" s="445">
        <v>159835966</v>
      </c>
      <c r="BG10" s="445">
        <v>49053417</v>
      </c>
      <c r="BH10" s="445">
        <v>-50742342</v>
      </c>
      <c r="BI10" s="445">
        <v>8148547</v>
      </c>
      <c r="BJ10" s="466">
        <v>6733124</v>
      </c>
      <c r="BK10" s="466">
        <v>2527575</v>
      </c>
      <c r="BL10" s="466">
        <v>-37523419</v>
      </c>
      <c r="BM10" s="466">
        <v>-65343524</v>
      </c>
      <c r="BN10" s="477">
        <v>49053417</v>
      </c>
      <c r="BO10" s="477">
        <v>268776958</v>
      </c>
      <c r="BP10" s="466">
        <v>8315604</v>
      </c>
      <c r="BQ10" s="477">
        <v>-20598586</v>
      </c>
      <c r="BR10" s="513">
        <v>10774551</v>
      </c>
      <c r="BS10" s="485">
        <v>-47184013</v>
      </c>
      <c r="BT10" s="485">
        <v>-6184744</v>
      </c>
      <c r="BU10" s="485">
        <f>-(352773828)</f>
        <v>-352773828</v>
      </c>
      <c r="BV10" s="485">
        <v>-1694806666</v>
      </c>
      <c r="BW10" s="485">
        <v>-1818938276</v>
      </c>
      <c r="BX10" s="485">
        <v>-3252479</v>
      </c>
      <c r="BY10" s="485">
        <v>3592672</v>
      </c>
      <c r="BZ10" s="485">
        <v>-163921892</v>
      </c>
      <c r="CA10" s="485">
        <v>-398843699</v>
      </c>
      <c r="CB10" s="513">
        <v>24370066</v>
      </c>
      <c r="CC10" s="485">
        <v>-125094710</v>
      </c>
      <c r="CD10" s="484">
        <v>-47184013</v>
      </c>
      <c r="CE10" s="485">
        <v>25745089</v>
      </c>
      <c r="CF10" s="484">
        <f>-(352773828)</f>
        <v>-352773828</v>
      </c>
      <c r="CG10" s="484">
        <v>-86814940</v>
      </c>
      <c r="CH10" s="484">
        <v>-1818938276</v>
      </c>
      <c r="CI10" s="484">
        <v>-2096069657</v>
      </c>
      <c r="CJ10" s="485">
        <v>3592672</v>
      </c>
      <c r="CK10" s="484">
        <v>-61710380</v>
      </c>
      <c r="CL10" s="484">
        <v>-398843699</v>
      </c>
      <c r="CM10" s="485">
        <v>6402712</v>
      </c>
      <c r="CN10" s="484">
        <v>-125094710</v>
      </c>
      <c r="CO10" s="485">
        <v>6132834</v>
      </c>
      <c r="CP10" s="536"/>
      <c r="CQ10" s="502"/>
      <c r="CR10" s="502"/>
      <c r="CS10" s="501"/>
      <c r="CT10" s="502"/>
      <c r="CU10" s="502"/>
      <c r="CV10" s="496">
        <v>3565428000</v>
      </c>
      <c r="CW10" s="496">
        <v>39138385000</v>
      </c>
      <c r="CX10" s="496">
        <v>-11856658000</v>
      </c>
      <c r="CY10" s="496">
        <v>-24493090000</v>
      </c>
    </row>
    <row r="11" spans="1:103" ht="15.75" thickBot="1" x14ac:dyDescent="0.3">
      <c r="A11" s="11" t="s">
        <v>19</v>
      </c>
      <c r="B11" s="12">
        <v>-13981463</v>
      </c>
      <c r="C11" s="12">
        <v>-81541426</v>
      </c>
      <c r="D11" s="12">
        <v>-80320265</v>
      </c>
      <c r="E11" s="8">
        <v>-95313104</v>
      </c>
      <c r="F11" s="13">
        <v>-95313104</v>
      </c>
      <c r="G11" s="12">
        <v>-28062000</v>
      </c>
      <c r="H11" s="12">
        <v>0</v>
      </c>
      <c r="I11" s="12">
        <v>0</v>
      </c>
      <c r="J11" s="12">
        <v>-10778000</v>
      </c>
      <c r="K11" s="12">
        <v>541001656</v>
      </c>
      <c r="L11" s="12">
        <v>-8202604</v>
      </c>
      <c r="M11" s="12">
        <v>-6041592</v>
      </c>
      <c r="N11" s="12">
        <v>-6624283</v>
      </c>
      <c r="O11" s="12">
        <v>-111377459</v>
      </c>
      <c r="P11" s="12">
        <v>-241940738</v>
      </c>
      <c r="Q11" s="12"/>
      <c r="R11" s="12"/>
      <c r="S11" s="12"/>
      <c r="T11" s="12"/>
      <c r="U11" s="12"/>
      <c r="V11" s="12">
        <v>-95313104</v>
      </c>
      <c r="W11" s="12">
        <v>-96836998</v>
      </c>
      <c r="X11" s="12">
        <v>-241940738</v>
      </c>
      <c r="Y11" s="12">
        <v>-494434468</v>
      </c>
      <c r="Z11" s="12">
        <v>541001656</v>
      </c>
      <c r="AA11" s="12">
        <v>342583000</v>
      </c>
      <c r="AB11" s="12"/>
      <c r="AC11" s="12">
        <v>-9034570</v>
      </c>
      <c r="AD11" s="12">
        <v>-96836998</v>
      </c>
      <c r="AE11" s="12">
        <v>-58136089</v>
      </c>
      <c r="AF11" s="12">
        <v>-494434468</v>
      </c>
      <c r="AG11" s="12">
        <v>-674638410</v>
      </c>
      <c r="AH11" s="12">
        <v>342583000</v>
      </c>
      <c r="AI11" s="12">
        <v>418536000</v>
      </c>
      <c r="AJ11" s="12">
        <v>-9034570</v>
      </c>
      <c r="AK11" s="12">
        <v>-17863080</v>
      </c>
      <c r="AL11" s="338">
        <v>17463742</v>
      </c>
      <c r="AM11" s="338">
        <v>-9243256</v>
      </c>
      <c r="AN11" s="338">
        <v>-568909998</v>
      </c>
      <c r="AO11" s="339">
        <v>-637313739</v>
      </c>
      <c r="AP11" s="338">
        <v>215630000</v>
      </c>
      <c r="AQ11" s="338">
        <v>628583000</v>
      </c>
      <c r="AR11" s="338">
        <v>-17348329</v>
      </c>
      <c r="AS11" s="338">
        <v>-7406717</v>
      </c>
      <c r="AT11" s="12">
        <v>-18794177</v>
      </c>
      <c r="AU11" s="12">
        <v>-153419308</v>
      </c>
      <c r="AV11" s="12">
        <v>-636876402</v>
      </c>
      <c r="AW11" s="447">
        <v>-704399453</v>
      </c>
      <c r="AX11" s="12">
        <v>628583000</v>
      </c>
      <c r="AY11" s="12">
        <v>341980000</v>
      </c>
      <c r="AZ11" s="12">
        <v>-7406717</v>
      </c>
      <c r="BA11" s="12">
        <v>-4491758</v>
      </c>
      <c r="BB11" s="60">
        <v>-153419308</v>
      </c>
      <c r="BC11" s="60">
        <v>-160863187</v>
      </c>
      <c r="BD11" s="60">
        <v>-704852339</v>
      </c>
      <c r="BE11" s="60">
        <v>-756123706</v>
      </c>
      <c r="BF11" s="8">
        <v>341980318</v>
      </c>
      <c r="BG11" s="8">
        <v>379556569</v>
      </c>
      <c r="BH11" s="8">
        <v>-704399453</v>
      </c>
      <c r="BI11" s="8">
        <v>-755956649</v>
      </c>
      <c r="BJ11" s="367">
        <v>-160863187</v>
      </c>
      <c r="BK11" s="367">
        <v>-156478853</v>
      </c>
      <c r="BL11" s="367">
        <f>2413091-BL10</f>
        <v>39936510</v>
      </c>
      <c r="BM11" s="367">
        <f>-62930433-BM10</f>
        <v>2413091</v>
      </c>
      <c r="BN11" s="335">
        <f>26461035-BN10</f>
        <v>-22592382</v>
      </c>
      <c r="BO11" s="335">
        <f>-111901728-BO10</f>
        <v>-380678686</v>
      </c>
      <c r="BP11" s="367">
        <f>-747808102-BP10</f>
        <v>-756123706</v>
      </c>
      <c r="BQ11" s="335">
        <v>-747333909</v>
      </c>
      <c r="BR11" s="413">
        <v>-151635842</v>
      </c>
      <c r="BS11" s="413">
        <v>-140861291</v>
      </c>
      <c r="BT11" s="413">
        <v>-777330156</v>
      </c>
      <c r="BU11" s="413">
        <v>-1133121485</v>
      </c>
      <c r="BV11" s="413">
        <v>-915576778</v>
      </c>
      <c r="BW11" s="413">
        <v>-2734515054</v>
      </c>
      <c r="BX11" s="413">
        <v>-3961691</v>
      </c>
      <c r="BY11" s="413">
        <v>-369019</v>
      </c>
      <c r="BZ11" s="413">
        <v>-62930433</v>
      </c>
      <c r="CA11" s="413">
        <v>-226852325</v>
      </c>
      <c r="CB11" s="526">
        <v>11869282</v>
      </c>
      <c r="CC11" s="526">
        <v>33802342</v>
      </c>
      <c r="CD11" s="484">
        <v>-47184013</v>
      </c>
      <c r="CE11" s="485">
        <v>25745089</v>
      </c>
      <c r="CF11" s="484">
        <f>-(352773828)</f>
        <v>-352773828</v>
      </c>
      <c r="CG11" s="484">
        <v>-86814940</v>
      </c>
      <c r="CH11" s="484">
        <v>-1818938276</v>
      </c>
      <c r="CI11" s="484">
        <v>-2096069657</v>
      </c>
      <c r="CJ11" s="485">
        <v>3592672</v>
      </c>
      <c r="CK11" s="484">
        <v>-61710380</v>
      </c>
      <c r="CL11" s="484">
        <v>-398843699</v>
      </c>
      <c r="CM11" s="485">
        <v>6402712</v>
      </c>
      <c r="CN11" s="484">
        <v>-125094710</v>
      </c>
      <c r="CO11" s="485">
        <v>6132834</v>
      </c>
      <c r="CP11" s="499">
        <v>-4200745209000</v>
      </c>
      <c r="CQ11" s="496">
        <v>-3976012621000</v>
      </c>
      <c r="CR11" s="496">
        <v>-1642617271000</v>
      </c>
      <c r="CS11" s="496">
        <v>-1702579413000</v>
      </c>
      <c r="CT11" s="496">
        <v>-192777623000</v>
      </c>
      <c r="CU11" s="496">
        <v>-133272426000</v>
      </c>
      <c r="CV11" s="496">
        <v>-119208087000</v>
      </c>
      <c r="CW11" s="496">
        <v>-115642660000</v>
      </c>
      <c r="CX11" s="496">
        <v>-38366083000</v>
      </c>
      <c r="CY11" s="496">
        <v>-50222741000</v>
      </c>
    </row>
    <row r="12" spans="1:103" ht="15.75" thickBot="1" x14ac:dyDescent="0.3">
      <c r="A12" s="6" t="s">
        <v>20</v>
      </c>
      <c r="B12" s="1">
        <v>10782288</v>
      </c>
      <c r="C12" s="1">
        <v>10782288</v>
      </c>
      <c r="D12" s="1">
        <v>10917972</v>
      </c>
      <c r="E12" s="1">
        <v>98206648</v>
      </c>
      <c r="F12" s="1">
        <v>103994935</v>
      </c>
      <c r="G12" s="1">
        <v>84767000</v>
      </c>
      <c r="H12" s="1">
        <v>133803000</v>
      </c>
      <c r="I12" s="1">
        <v>609715000</v>
      </c>
      <c r="J12" s="1">
        <v>527581000</v>
      </c>
      <c r="K12" s="1">
        <v>530741000</v>
      </c>
      <c r="L12" s="1">
        <v>4340173</v>
      </c>
      <c r="M12" s="1">
        <v>4528478</v>
      </c>
      <c r="N12" s="1">
        <v>5060439</v>
      </c>
      <c r="O12" s="1">
        <v>250627906</v>
      </c>
      <c r="P12" s="1">
        <v>535685201</v>
      </c>
      <c r="Q12" s="1"/>
      <c r="R12" s="1"/>
      <c r="S12" s="1"/>
      <c r="T12" s="1"/>
      <c r="U12" s="1">
        <v>6369373</v>
      </c>
      <c r="V12" s="1">
        <v>103994935</v>
      </c>
      <c r="W12" s="1">
        <v>103988186</v>
      </c>
      <c r="X12" s="1">
        <v>535685201</v>
      </c>
      <c r="Y12" s="1">
        <v>761475087</v>
      </c>
      <c r="Z12" s="1">
        <v>530741000</v>
      </c>
      <c r="AA12" s="1">
        <v>692903000</v>
      </c>
      <c r="AB12" s="1">
        <v>6369373</v>
      </c>
      <c r="AC12" s="1">
        <v>16736926</v>
      </c>
      <c r="AD12" s="10">
        <v>103988186</v>
      </c>
      <c r="AE12" s="10">
        <v>107815975</v>
      </c>
      <c r="AF12" s="10">
        <v>761475087</v>
      </c>
      <c r="AG12" s="10">
        <v>796933128</v>
      </c>
      <c r="AH12" s="10">
        <v>692903000</v>
      </c>
      <c r="AI12" s="10">
        <v>700459000</v>
      </c>
      <c r="AJ12" s="10">
        <v>16736926</v>
      </c>
      <c r="AK12" s="10">
        <v>16736926</v>
      </c>
      <c r="AL12" s="333">
        <v>84834283</v>
      </c>
      <c r="AM12" s="333">
        <v>95667588</v>
      </c>
      <c r="AN12" s="333">
        <v>790059668</v>
      </c>
      <c r="AO12" s="338">
        <v>902559658</v>
      </c>
      <c r="AP12" s="333">
        <v>350900000</v>
      </c>
      <c r="AQ12" s="333">
        <v>755637000</v>
      </c>
      <c r="AR12" s="333">
        <v>16736926</v>
      </c>
      <c r="AS12" s="333">
        <v>15949886</v>
      </c>
      <c r="AT12" s="10">
        <v>105218462</v>
      </c>
      <c r="AU12" s="10">
        <v>174229480</v>
      </c>
      <c r="AV12" s="10">
        <v>902559658</v>
      </c>
      <c r="AW12" s="10">
        <v>902559658</v>
      </c>
      <c r="AX12" s="10">
        <v>755637000</v>
      </c>
      <c r="AY12" s="10">
        <v>706769000</v>
      </c>
      <c r="AZ12" s="10">
        <v>15949886</v>
      </c>
      <c r="BA12" s="10">
        <v>30595596</v>
      </c>
      <c r="BB12" s="34">
        <v>174229480</v>
      </c>
      <c r="BC12" s="34">
        <v>170492812</v>
      </c>
      <c r="BD12" s="34">
        <v>902559658</v>
      </c>
      <c r="BE12" s="34">
        <v>903374512</v>
      </c>
      <c r="BF12" s="1">
        <v>706769434</v>
      </c>
      <c r="BG12" s="1">
        <v>810805825</v>
      </c>
      <c r="BH12" s="1">
        <v>902559658</v>
      </c>
      <c r="BI12" s="1">
        <v>903374512</v>
      </c>
      <c r="BJ12" s="354">
        <f>152232359+9550921+8709532</f>
        <v>170492812</v>
      </c>
      <c r="BK12" s="354">
        <f>152232359+9550921+10477913</f>
        <v>172261193</v>
      </c>
      <c r="BL12" s="354">
        <v>59783841</v>
      </c>
      <c r="BM12" s="354">
        <v>59783841</v>
      </c>
      <c r="BN12" s="332">
        <f>102070461+494149264+616735051</f>
        <v>1212954776</v>
      </c>
      <c r="BO12" s="332">
        <f>102070461+779229889+755899495</f>
        <v>1637199845</v>
      </c>
      <c r="BP12" s="354">
        <f>902312247+1062265</f>
        <v>903374512</v>
      </c>
      <c r="BQ12" s="332">
        <f>902312247+1062266</f>
        <v>903374513</v>
      </c>
    </row>
    <row r="13" spans="1:103" ht="15.75" thickBot="1" x14ac:dyDescent="0.3">
      <c r="A13" s="5" t="s">
        <v>21</v>
      </c>
      <c r="B13" s="2">
        <v>21579137</v>
      </c>
      <c r="C13" s="2">
        <v>22935982</v>
      </c>
      <c r="D13" s="2">
        <v>7943143</v>
      </c>
      <c r="E13" s="2">
        <v>16609041</v>
      </c>
      <c r="F13" s="2">
        <v>14140505</v>
      </c>
      <c r="G13" s="2">
        <v>727367000</v>
      </c>
      <c r="H13" s="2">
        <v>698113000</v>
      </c>
      <c r="I13" s="2">
        <v>607874000</v>
      </c>
      <c r="J13" s="2">
        <v>868657000</v>
      </c>
      <c r="K13" s="2">
        <v>1466023656</v>
      </c>
      <c r="L13" s="2">
        <v>3790139</v>
      </c>
      <c r="M13" s="2">
        <v>3155643</v>
      </c>
      <c r="N13" s="2">
        <v>-101063235</v>
      </c>
      <c r="O13" s="2">
        <v>13938636</v>
      </c>
      <c r="P13" s="2">
        <v>46502221</v>
      </c>
      <c r="Q13" s="2">
        <v>0</v>
      </c>
      <c r="R13" s="2">
        <v>0</v>
      </c>
      <c r="S13" s="2">
        <v>0</v>
      </c>
      <c r="T13" s="2">
        <v>0</v>
      </c>
      <c r="U13" s="24">
        <v>-5151837</v>
      </c>
      <c r="V13" s="2">
        <v>14140505</v>
      </c>
      <c r="W13" s="2">
        <v>54635761</v>
      </c>
      <c r="X13" s="2">
        <v>46502221</v>
      </c>
      <c r="Y13" s="2">
        <v>92088196</v>
      </c>
      <c r="Z13" s="2">
        <v>1466023656</v>
      </c>
      <c r="AA13" s="2">
        <v>1284132000</v>
      </c>
      <c r="AB13" s="2">
        <v>-5151837</v>
      </c>
      <c r="AC13" s="2">
        <v>4886806</v>
      </c>
      <c r="AD13" s="279">
        <v>54635761</v>
      </c>
      <c r="AE13" s="279">
        <v>42886447</v>
      </c>
      <c r="AF13" s="279">
        <v>92088196</v>
      </c>
      <c r="AG13" s="279">
        <v>29171333</v>
      </c>
      <c r="AH13" s="279">
        <v>1284132000</v>
      </c>
      <c r="AI13" s="279">
        <v>1061325000</v>
      </c>
      <c r="AJ13" s="279">
        <v>4886806</v>
      </c>
      <c r="AK13" s="279">
        <v>16136686</v>
      </c>
      <c r="AL13" s="334">
        <f t="shared" ref="AL13:AS13" si="2">SUM(AL9:AL12)</f>
        <v>82573595</v>
      </c>
      <c r="AM13" s="340">
        <f t="shared" si="2"/>
        <v>-41218277</v>
      </c>
      <c r="AN13" s="334">
        <f>SUM(AN9:AN12)</f>
        <v>158434794</v>
      </c>
      <c r="AO13" s="334">
        <f>SUM(AO9:AO12)</f>
        <v>203411743</v>
      </c>
      <c r="AP13" s="334">
        <f t="shared" si="2"/>
        <v>1246986000</v>
      </c>
      <c r="AQ13" s="334">
        <f t="shared" si="2"/>
        <v>1437410000</v>
      </c>
      <c r="AR13" s="334">
        <f t="shared" si="2"/>
        <v>15343169</v>
      </c>
      <c r="AS13" s="334">
        <f t="shared" si="2"/>
        <v>18258128</v>
      </c>
      <c r="AT13" s="446">
        <v>-41218278</v>
      </c>
      <c r="AU13" s="445">
        <v>20845974</v>
      </c>
      <c r="AV13" s="445">
        <v>203411743</v>
      </c>
      <c r="AW13" s="279">
        <v>152669401</v>
      </c>
      <c r="AX13" s="279">
        <v>1437410000</v>
      </c>
      <c r="AY13" s="279">
        <v>1611421000</v>
      </c>
      <c r="AZ13" s="279">
        <v>18258128</v>
      </c>
      <c r="BA13" s="279">
        <v>13610722</v>
      </c>
      <c r="BB13" s="446">
        <v>20845974</v>
      </c>
      <c r="BC13" s="445">
        <v>23842430</v>
      </c>
      <c r="BD13" s="445">
        <v>152669401</v>
      </c>
      <c r="BE13" s="279">
        <v>160817948</v>
      </c>
      <c r="BF13" s="279">
        <v>1611421337</v>
      </c>
      <c r="BG13" s="279">
        <v>1642251430</v>
      </c>
      <c r="BH13" s="279">
        <v>152669401</v>
      </c>
      <c r="BI13" s="279">
        <v>160817948</v>
      </c>
      <c r="BJ13" s="478">
        <f t="shared" ref="BJ13:BQ13" si="3">SUM(BJ9:BJ12)</f>
        <v>23842430</v>
      </c>
      <c r="BK13" s="478">
        <f t="shared" si="3"/>
        <v>25789596</v>
      </c>
      <c r="BL13" s="478">
        <f t="shared" si="3"/>
        <v>70407652</v>
      </c>
      <c r="BM13" s="478">
        <f t="shared" si="3"/>
        <v>5064128</v>
      </c>
      <c r="BN13" s="479">
        <f t="shared" si="3"/>
        <v>1642251430</v>
      </c>
      <c r="BO13" s="479">
        <f t="shared" si="3"/>
        <v>1928133736</v>
      </c>
      <c r="BP13" s="479">
        <f t="shared" si="3"/>
        <v>160817948</v>
      </c>
      <c r="BQ13" s="479">
        <f t="shared" si="3"/>
        <v>140693556</v>
      </c>
      <c r="BR13" s="514">
        <v>34383018</v>
      </c>
      <c r="BS13" s="413">
        <v>-10561597</v>
      </c>
      <c r="BT13" s="507">
        <v>371627593</v>
      </c>
      <c r="BU13" s="515">
        <v>15836263</v>
      </c>
      <c r="BV13" s="507">
        <v>165193401</v>
      </c>
      <c r="BW13" s="413">
        <v>-1022995799</v>
      </c>
      <c r="BX13" s="510">
        <v>2237882</v>
      </c>
      <c r="BY13" s="510">
        <v>5966955</v>
      </c>
      <c r="BZ13" s="507">
        <v>26059417</v>
      </c>
      <c r="CA13" s="413">
        <v>-349518394</v>
      </c>
      <c r="CB13" s="507">
        <v>291568273</v>
      </c>
      <c r="CC13" s="507">
        <v>219513324</v>
      </c>
      <c r="CD13" s="487">
        <v>-10561597</v>
      </c>
      <c r="CE13" s="488">
        <v>17129334</v>
      </c>
      <c r="CF13" s="533">
        <v>15836263</v>
      </c>
      <c r="CG13" s="487">
        <v>-70978675</v>
      </c>
      <c r="CH13" s="487">
        <v>-1022995799</v>
      </c>
      <c r="CI13" s="487">
        <v>-238962222</v>
      </c>
      <c r="CJ13" s="531">
        <v>5966955</v>
      </c>
      <c r="CK13" s="487">
        <v>-58861529</v>
      </c>
      <c r="CL13" s="487">
        <v>-349518394</v>
      </c>
      <c r="CM13" s="487">
        <v>-399427988</v>
      </c>
      <c r="CN13" s="532">
        <v>219513324</v>
      </c>
      <c r="CO13" s="488">
        <v>211225131</v>
      </c>
      <c r="CP13" s="500">
        <v>-1446681186000</v>
      </c>
      <c r="CQ13" s="494">
        <v>-1106884240000</v>
      </c>
      <c r="CR13" s="494">
        <v>-493659522000</v>
      </c>
      <c r="CS13" s="494">
        <v>23244118000</v>
      </c>
      <c r="CT13" s="494">
        <v>-13443552000</v>
      </c>
      <c r="CU13" s="494">
        <v>37056725000</v>
      </c>
      <c r="CV13" s="494">
        <v>128030732000</v>
      </c>
      <c r="CW13" s="494">
        <v>117043416000</v>
      </c>
      <c r="CX13" s="494">
        <v>-59458986000</v>
      </c>
      <c r="CY13" s="494">
        <v>-70157171000</v>
      </c>
    </row>
    <row r="14" spans="1:103" ht="15.75" thickBot="1" x14ac:dyDescent="0.3">
      <c r="A14" s="5" t="s">
        <v>22</v>
      </c>
      <c r="B14" s="2">
        <v>205557723</v>
      </c>
      <c r="C14" s="2">
        <v>195873035</v>
      </c>
      <c r="D14" s="2">
        <v>168871859</v>
      </c>
      <c r="E14" s="2">
        <v>235304390</v>
      </c>
      <c r="F14" s="2">
        <v>224949004</v>
      </c>
      <c r="G14" s="2">
        <v>2359725000</v>
      </c>
      <c r="H14" s="2">
        <v>3006803000</v>
      </c>
      <c r="I14" s="2">
        <v>3953636000</v>
      </c>
      <c r="J14" s="2">
        <v>4452847000</v>
      </c>
      <c r="K14" s="2">
        <v>5265444656</v>
      </c>
      <c r="L14" s="2">
        <v>66399840</v>
      </c>
      <c r="M14" s="2">
        <v>134645481</v>
      </c>
      <c r="N14" s="2">
        <v>191973083</v>
      </c>
      <c r="O14" s="2">
        <v>198609374</v>
      </c>
      <c r="P14" s="2">
        <v>378731445</v>
      </c>
      <c r="Q14" s="2">
        <v>0</v>
      </c>
      <c r="R14" s="2">
        <v>0</v>
      </c>
      <c r="S14" s="2">
        <v>0</v>
      </c>
      <c r="T14" s="2">
        <v>0</v>
      </c>
      <c r="U14" s="2">
        <v>36245379</v>
      </c>
      <c r="V14" s="2">
        <v>224949004</v>
      </c>
      <c r="W14" s="2">
        <v>261334561</v>
      </c>
      <c r="X14" s="2">
        <v>378731445</v>
      </c>
      <c r="Y14" s="2">
        <v>363947788</v>
      </c>
      <c r="Z14" s="2">
        <v>5265444656</v>
      </c>
      <c r="AA14" s="2">
        <v>5798317000</v>
      </c>
      <c r="AB14" s="2">
        <v>36245379</v>
      </c>
      <c r="AC14" s="2">
        <v>51220151</v>
      </c>
      <c r="AD14" s="279">
        <v>261334561</v>
      </c>
      <c r="AE14" s="279">
        <v>485170823</v>
      </c>
      <c r="AF14" s="279">
        <v>363947788</v>
      </c>
      <c r="AG14" s="279">
        <v>367990127</v>
      </c>
      <c r="AH14" s="279">
        <v>5798317000</v>
      </c>
      <c r="AI14" s="279">
        <v>8211340000</v>
      </c>
      <c r="AJ14" s="279">
        <v>51220151</v>
      </c>
      <c r="AK14" s="279">
        <v>97249818</v>
      </c>
      <c r="AL14" s="334">
        <f t="shared" ref="AL14:AS14" si="4">+AL13+AL8</f>
        <v>588583804</v>
      </c>
      <c r="AM14" s="334">
        <f t="shared" si="4"/>
        <v>638980740</v>
      </c>
      <c r="AN14" s="334">
        <f t="shared" si="4"/>
        <v>274482212</v>
      </c>
      <c r="AO14" s="334">
        <f t="shared" si="4"/>
        <v>412193070</v>
      </c>
      <c r="AP14" s="334">
        <f t="shared" si="4"/>
        <v>8849228000</v>
      </c>
      <c r="AQ14" s="334">
        <f t="shared" si="4"/>
        <v>13291821000</v>
      </c>
      <c r="AR14" s="334">
        <f t="shared" si="4"/>
        <v>96800953</v>
      </c>
      <c r="AS14" s="334">
        <f t="shared" si="4"/>
        <v>133790276</v>
      </c>
      <c r="AT14" s="279">
        <v>621328793</v>
      </c>
      <c r="AU14" s="279">
        <v>495945331</v>
      </c>
      <c r="AV14" s="279">
        <v>412193070</v>
      </c>
      <c r="AW14" s="279">
        <v>394209786</v>
      </c>
      <c r="AX14" s="279">
        <v>12602908000</v>
      </c>
      <c r="AY14" s="279">
        <v>12927388000</v>
      </c>
      <c r="AZ14" s="279">
        <v>133805712</v>
      </c>
      <c r="BA14" s="279">
        <v>164297256</v>
      </c>
      <c r="BB14" s="279">
        <v>480559320</v>
      </c>
      <c r="BC14" s="279">
        <v>399405405</v>
      </c>
      <c r="BD14" s="279">
        <v>394209786</v>
      </c>
      <c r="BE14" s="279">
        <v>413773321</v>
      </c>
      <c r="BF14" s="279">
        <v>12927388415</v>
      </c>
      <c r="BG14" s="279">
        <v>14229580340</v>
      </c>
      <c r="BH14" s="279">
        <v>394209786</v>
      </c>
      <c r="BI14" s="279">
        <v>413773321</v>
      </c>
      <c r="BJ14" s="466">
        <f t="shared" ref="BJ14:BQ14" si="5">+BJ13+BJ8</f>
        <v>399405405</v>
      </c>
      <c r="BK14" s="466">
        <f t="shared" si="5"/>
        <v>337147502</v>
      </c>
      <c r="BL14" s="466">
        <f t="shared" si="5"/>
        <v>276560897</v>
      </c>
      <c r="BM14" s="466">
        <f t="shared" si="5"/>
        <v>370110872</v>
      </c>
      <c r="BN14" s="477">
        <f t="shared" si="5"/>
        <v>14325211160</v>
      </c>
      <c r="BO14" s="477">
        <f t="shared" si="5"/>
        <v>17041050558</v>
      </c>
      <c r="BP14" s="477">
        <f t="shared" si="5"/>
        <v>413773321</v>
      </c>
      <c r="BQ14" s="477">
        <f t="shared" si="5"/>
        <v>373181705</v>
      </c>
      <c r="BR14" s="514">
        <v>402364276</v>
      </c>
      <c r="BS14" s="514">
        <v>344945192</v>
      </c>
      <c r="BT14" s="514">
        <v>722472333</v>
      </c>
      <c r="BU14" s="514">
        <v>428393653</v>
      </c>
      <c r="BV14" s="514">
        <v>18498349056</v>
      </c>
      <c r="BW14" s="514">
        <v>16502571854</v>
      </c>
      <c r="BX14" s="514">
        <v>369714974</v>
      </c>
      <c r="BY14" s="514">
        <v>285994075</v>
      </c>
      <c r="BZ14" s="507">
        <v>1756563242</v>
      </c>
      <c r="CA14" s="507">
        <v>1652829650</v>
      </c>
      <c r="CB14" s="507">
        <v>651695425</v>
      </c>
      <c r="CC14" s="507">
        <v>603463774</v>
      </c>
      <c r="CD14" s="514">
        <v>344945192</v>
      </c>
      <c r="CE14" s="514">
        <v>497004923</v>
      </c>
      <c r="CF14" s="514">
        <v>428393653</v>
      </c>
      <c r="CG14" s="514">
        <v>610104786</v>
      </c>
      <c r="CH14" s="514">
        <v>16502571854</v>
      </c>
      <c r="CI14" s="514">
        <v>11043680693</v>
      </c>
      <c r="CJ14" s="514">
        <v>285994075</v>
      </c>
      <c r="CK14" s="514">
        <v>125029141</v>
      </c>
      <c r="CL14" s="507">
        <v>1652829650</v>
      </c>
      <c r="CM14" s="507">
        <v>3012085850</v>
      </c>
      <c r="CN14" s="507">
        <v>603463774</v>
      </c>
      <c r="CO14" s="507">
        <v>622627590</v>
      </c>
      <c r="CP14" s="500">
        <v>17886971238000</v>
      </c>
      <c r="CQ14" s="494">
        <v>18938010693000</v>
      </c>
      <c r="CR14" s="494">
        <v>941581823000</v>
      </c>
      <c r="CS14" s="494">
        <v>1071289585000</v>
      </c>
      <c r="CT14" s="494">
        <v>809756137000</v>
      </c>
      <c r="CU14" s="494">
        <v>580888023000</v>
      </c>
      <c r="CV14" s="494">
        <v>693671819000</v>
      </c>
      <c r="CW14" s="494">
        <v>605832334000</v>
      </c>
      <c r="CX14" s="494">
        <v>82902545000</v>
      </c>
      <c r="CY14" s="494">
        <v>103396266000</v>
      </c>
    </row>
    <row r="15" spans="1:103" ht="15.75" thickBot="1" x14ac:dyDescent="0.3">
      <c r="A15" s="7" t="s">
        <v>25</v>
      </c>
      <c r="B15" s="1">
        <v>527378480</v>
      </c>
      <c r="C15" s="1">
        <v>514553797</v>
      </c>
      <c r="D15" s="1">
        <v>486240998</v>
      </c>
      <c r="E15" s="1">
        <v>630966625</v>
      </c>
      <c r="F15" s="1">
        <v>682162106</v>
      </c>
      <c r="G15" s="1">
        <v>2865377000</v>
      </c>
      <c r="H15" s="1">
        <v>2841276000</v>
      </c>
      <c r="I15" s="1">
        <v>3333749000</v>
      </c>
      <c r="J15" s="1">
        <v>4004529000</v>
      </c>
      <c r="K15" s="1">
        <v>4412663000</v>
      </c>
      <c r="L15" s="1">
        <v>199244525</v>
      </c>
      <c r="M15" s="1">
        <v>264378253</v>
      </c>
      <c r="N15" s="1">
        <v>422947109</v>
      </c>
      <c r="O15" s="1">
        <v>489338712</v>
      </c>
      <c r="P15" s="1">
        <v>527244255</v>
      </c>
      <c r="Q15" s="1"/>
      <c r="R15" s="1"/>
      <c r="S15" s="1"/>
      <c r="T15" s="1"/>
      <c r="U15" s="1">
        <v>46810244</v>
      </c>
      <c r="V15" s="1">
        <v>682162106</v>
      </c>
      <c r="W15" s="1">
        <v>752063797</v>
      </c>
      <c r="X15" s="1">
        <v>527244255</v>
      </c>
      <c r="Y15" s="1">
        <v>687426137</v>
      </c>
      <c r="Z15" s="1">
        <v>4412663000</v>
      </c>
      <c r="AA15" s="1">
        <v>4954177000</v>
      </c>
      <c r="AB15" s="1">
        <v>46810244</v>
      </c>
      <c r="AC15" s="1">
        <v>159957960</v>
      </c>
      <c r="AD15" s="1">
        <v>752063797</v>
      </c>
      <c r="AE15" s="1">
        <v>723278741</v>
      </c>
      <c r="AF15" s="1">
        <v>687426137</v>
      </c>
      <c r="AG15" s="1">
        <v>895698078</v>
      </c>
      <c r="AH15" s="1">
        <v>4954177000</v>
      </c>
      <c r="AI15" s="1">
        <v>5376826000</v>
      </c>
      <c r="AJ15" s="1">
        <v>159957960</v>
      </c>
      <c r="AK15" s="1">
        <v>232777219</v>
      </c>
      <c r="AL15" s="332">
        <v>735379237</v>
      </c>
      <c r="AM15" s="332">
        <v>833983706</v>
      </c>
      <c r="AN15" s="332">
        <v>847112549</v>
      </c>
      <c r="AO15" s="332">
        <v>841991051</v>
      </c>
      <c r="AP15" s="332">
        <v>5363389000</v>
      </c>
      <c r="AQ15" s="332">
        <v>6531245000</v>
      </c>
      <c r="AR15" s="332">
        <v>234581014</v>
      </c>
      <c r="AS15" s="332">
        <v>357714636</v>
      </c>
      <c r="AT15" s="1">
        <v>733908788</v>
      </c>
      <c r="AU15" s="1">
        <v>587910957</v>
      </c>
      <c r="AV15" s="1">
        <v>920586883</v>
      </c>
      <c r="AW15" s="1">
        <v>1007183258</v>
      </c>
      <c r="AX15" s="1">
        <v>6531245000</v>
      </c>
      <c r="AY15" s="1">
        <v>7146724000</v>
      </c>
      <c r="AZ15" s="1">
        <v>357714636</v>
      </c>
      <c r="BA15" s="1">
        <v>453884354</v>
      </c>
      <c r="BB15" s="1">
        <v>589316605</v>
      </c>
      <c r="BC15" s="1">
        <v>483005943</v>
      </c>
      <c r="BD15" s="34">
        <v>896863385</v>
      </c>
      <c r="BE15" s="34">
        <v>854506623</v>
      </c>
      <c r="BF15" s="1">
        <v>7146724272</v>
      </c>
      <c r="BG15" s="1">
        <v>7678159168</v>
      </c>
      <c r="BH15" s="1">
        <v>1007183258</v>
      </c>
      <c r="BI15" s="1">
        <v>923437590</v>
      </c>
      <c r="BJ15" s="332">
        <v>483005943</v>
      </c>
      <c r="BK15" s="332">
        <v>473392716</v>
      </c>
      <c r="BL15" s="354">
        <v>477070517</v>
      </c>
      <c r="BM15" s="354">
        <v>508299356</v>
      </c>
      <c r="BN15" s="332">
        <v>7678159168</v>
      </c>
      <c r="BO15" s="332">
        <v>8667597705</v>
      </c>
      <c r="BP15" s="354">
        <v>854506623</v>
      </c>
      <c r="BQ15" s="332">
        <f>880302015+60493674</f>
        <v>940795689</v>
      </c>
      <c r="BR15" s="522">
        <v>443190567</v>
      </c>
      <c r="BS15" s="522">
        <v>160865638</v>
      </c>
      <c r="BT15" s="521">
        <v>980578326</v>
      </c>
      <c r="BU15" s="523">
        <v>328974024</v>
      </c>
      <c r="BV15" s="521">
        <v>9307045218</v>
      </c>
      <c r="BW15" s="521">
        <v>3257801263</v>
      </c>
      <c r="BX15" s="521">
        <v>73350086</v>
      </c>
      <c r="BY15" s="521">
        <v>83752037</v>
      </c>
      <c r="BZ15" s="524">
        <v>765247109</v>
      </c>
      <c r="CA15" s="524">
        <v>410841381</v>
      </c>
      <c r="CB15" s="524">
        <v>383586613</v>
      </c>
      <c r="CC15" s="524">
        <v>138930499</v>
      </c>
      <c r="CD15" s="516">
        <v>160865638</v>
      </c>
      <c r="CE15" s="516">
        <v>391454244</v>
      </c>
      <c r="CF15" s="530">
        <v>328974024</v>
      </c>
      <c r="CG15" s="530">
        <v>927377776</v>
      </c>
      <c r="CH15" s="508">
        <v>3257801263</v>
      </c>
      <c r="CI15" s="508">
        <v>4388774448</v>
      </c>
      <c r="CJ15" s="508">
        <v>83752037</v>
      </c>
      <c r="CK15" s="508">
        <v>120595436</v>
      </c>
      <c r="CL15" s="534">
        <v>410841381</v>
      </c>
      <c r="CM15" s="534">
        <v>1021983263</v>
      </c>
      <c r="CN15" s="534">
        <v>138930499</v>
      </c>
      <c r="CO15" s="534">
        <v>317550795</v>
      </c>
      <c r="CP15" s="499">
        <v>11260338556000</v>
      </c>
      <c r="CQ15" s="496">
        <v>13575256908000</v>
      </c>
      <c r="CR15" s="496">
        <v>1712904569000</v>
      </c>
      <c r="CS15" s="496">
        <v>2247093291000</v>
      </c>
      <c r="CT15" s="496">
        <v>658117553000</v>
      </c>
      <c r="CU15" s="496">
        <v>820806957000</v>
      </c>
      <c r="CV15" s="496">
        <v>493702641000</v>
      </c>
      <c r="CW15" s="496">
        <v>531313817000</v>
      </c>
      <c r="CX15" s="496">
        <v>195473514000</v>
      </c>
      <c r="CY15" s="496">
        <v>234698864000</v>
      </c>
    </row>
    <row r="16" spans="1:103" ht="15.75" thickBot="1" x14ac:dyDescent="0.3">
      <c r="A16" s="7" t="s">
        <v>26</v>
      </c>
      <c r="B16" s="1">
        <v>0</v>
      </c>
      <c r="C16" s="1">
        <v>-3039672</v>
      </c>
      <c r="D16" s="1">
        <v>4770700</v>
      </c>
      <c r="E16" s="1">
        <v>3081152</v>
      </c>
      <c r="F16" s="1"/>
      <c r="G16" s="1">
        <v>334632000</v>
      </c>
      <c r="H16" s="1">
        <v>171058000</v>
      </c>
      <c r="I16" s="1">
        <v>165727000</v>
      </c>
      <c r="J16" s="1">
        <v>178917000</v>
      </c>
      <c r="K16" s="1">
        <v>198365000</v>
      </c>
      <c r="L16" s="1">
        <v>15514148</v>
      </c>
      <c r="M16" s="1">
        <v>21895473</v>
      </c>
      <c r="N16" s="1">
        <v>2957167</v>
      </c>
      <c r="O16" s="1">
        <v>42126173</v>
      </c>
      <c r="P16" s="1">
        <v>13232324</v>
      </c>
      <c r="Q16" s="1"/>
      <c r="R16" s="1"/>
      <c r="S16" s="1"/>
      <c r="T16" s="1"/>
      <c r="U16" s="1">
        <v>724234</v>
      </c>
      <c r="V16" s="1"/>
      <c r="W16" s="1">
        <v>14764406</v>
      </c>
      <c r="X16" s="1">
        <v>13232324</v>
      </c>
      <c r="Y16" s="1">
        <v>32089603</v>
      </c>
      <c r="Z16" s="1">
        <v>198365000</v>
      </c>
      <c r="AA16" s="1">
        <v>88533000</v>
      </c>
      <c r="AB16" s="1">
        <v>724234</v>
      </c>
      <c r="AC16" s="1">
        <v>2406824</v>
      </c>
      <c r="AD16" s="10">
        <v>14764406</v>
      </c>
      <c r="AE16" s="10"/>
      <c r="AF16" s="10">
        <v>32089603</v>
      </c>
      <c r="AG16" s="10">
        <v>57759812</v>
      </c>
      <c r="AH16" s="10">
        <v>88533000</v>
      </c>
      <c r="AI16" s="10">
        <v>230391000</v>
      </c>
      <c r="AJ16" s="10">
        <v>2406824</v>
      </c>
      <c r="AK16" s="10">
        <v>11980279</v>
      </c>
      <c r="AL16" s="333">
        <v>10926320</v>
      </c>
      <c r="AM16" s="333">
        <v>1664474</v>
      </c>
      <c r="AN16" s="333">
        <v>65886325</v>
      </c>
      <c r="AO16" s="333">
        <v>82141142</v>
      </c>
      <c r="AP16" s="333">
        <v>168323000</v>
      </c>
      <c r="AQ16" s="333">
        <f>223361000+2595000+43244000</f>
        <v>269200000</v>
      </c>
      <c r="AR16" s="333">
        <v>1141099</v>
      </c>
      <c r="AS16" s="333">
        <v>1877531</v>
      </c>
      <c r="AT16" s="10">
        <v>5989729</v>
      </c>
      <c r="AU16" s="10">
        <v>38571619</v>
      </c>
      <c r="AV16" s="10">
        <v>3545310</v>
      </c>
      <c r="AW16" s="10">
        <v>705944</v>
      </c>
      <c r="AX16" s="10">
        <v>269200000</v>
      </c>
      <c r="AY16" s="10">
        <v>210328000</v>
      </c>
      <c r="AZ16" s="10">
        <v>1877531</v>
      </c>
      <c r="BA16" s="10"/>
      <c r="BB16" s="10">
        <v>37115305</v>
      </c>
      <c r="BC16" s="10">
        <v>7974541</v>
      </c>
      <c r="BD16" s="465">
        <v>111025817</v>
      </c>
      <c r="BE16" s="465">
        <v>70172414</v>
      </c>
      <c r="BF16" s="10">
        <v>210328131</v>
      </c>
      <c r="BG16" s="10">
        <v>57100955</v>
      </c>
      <c r="BH16" s="10">
        <v>705944</v>
      </c>
      <c r="BI16" s="10">
        <v>1241447</v>
      </c>
      <c r="BJ16" s="333">
        <f>1658708+787306+4922891+605636</f>
        <v>7974541</v>
      </c>
      <c r="BK16" s="333">
        <f>1698845+1041625</f>
        <v>2740470</v>
      </c>
      <c r="BL16" s="480"/>
      <c r="BM16" s="480"/>
      <c r="BN16" s="333">
        <f>33058920+24042035</f>
        <v>57100955</v>
      </c>
      <c r="BO16" s="333">
        <f>63212051+832809+51085662+79571101</f>
        <v>194701623</v>
      </c>
      <c r="BP16" s="480">
        <f>68930967+1241447</f>
        <v>70172414</v>
      </c>
      <c r="BQ16" s="333">
        <f>932014+8292720</f>
        <v>9224734</v>
      </c>
      <c r="CP16" s="499">
        <v>197316722000</v>
      </c>
      <c r="CQ16" s="496">
        <v>35570217000</v>
      </c>
      <c r="CR16" s="496">
        <v>70940896000</v>
      </c>
      <c r="CS16" s="496">
        <v>158509238000</v>
      </c>
      <c r="CT16" s="496">
        <v>1459757000</v>
      </c>
      <c r="CU16" s="496">
        <v>16206881000</v>
      </c>
      <c r="CV16" s="496">
        <v>30658756000</v>
      </c>
      <c r="CW16" s="496">
        <v>36805329000</v>
      </c>
      <c r="CX16" s="496">
        <v>4173155000</v>
      </c>
      <c r="CY16" s="496">
        <v>622096000</v>
      </c>
    </row>
    <row r="17" spans="1:103" ht="15.75" thickBot="1" x14ac:dyDescent="0.3">
      <c r="A17" s="5" t="s">
        <v>27</v>
      </c>
      <c r="B17" s="2">
        <v>527378480</v>
      </c>
      <c r="C17" s="2">
        <v>511514125</v>
      </c>
      <c r="D17" s="2">
        <v>491011698</v>
      </c>
      <c r="E17" s="2">
        <v>634047777</v>
      </c>
      <c r="F17" s="2">
        <v>682162106</v>
      </c>
      <c r="G17" s="2">
        <v>3200009000</v>
      </c>
      <c r="H17" s="2">
        <v>3012334000</v>
      </c>
      <c r="I17" s="2">
        <v>3499476000</v>
      </c>
      <c r="J17" s="2">
        <v>4183446000</v>
      </c>
      <c r="K17" s="2">
        <v>4611028000</v>
      </c>
      <c r="L17" s="2">
        <v>214758673</v>
      </c>
      <c r="M17" s="2">
        <v>286273726</v>
      </c>
      <c r="N17" s="2">
        <v>425904276</v>
      </c>
      <c r="O17" s="2">
        <v>531464885</v>
      </c>
      <c r="P17" s="2">
        <v>540476579</v>
      </c>
      <c r="Q17" s="2">
        <v>0</v>
      </c>
      <c r="R17" s="2">
        <v>0</v>
      </c>
      <c r="S17" s="2">
        <v>0</v>
      </c>
      <c r="T17" s="2">
        <v>0</v>
      </c>
      <c r="U17" s="2">
        <v>47534478</v>
      </c>
      <c r="V17" s="2">
        <v>682162106</v>
      </c>
      <c r="W17" s="2">
        <v>766828203</v>
      </c>
      <c r="X17" s="2">
        <v>540476579</v>
      </c>
      <c r="Y17" s="2">
        <v>719515740</v>
      </c>
      <c r="Z17" s="2">
        <v>4611028000</v>
      </c>
      <c r="AA17" s="2">
        <v>5042710000</v>
      </c>
      <c r="AB17" s="2">
        <v>47534478</v>
      </c>
      <c r="AC17" s="2">
        <v>162364784</v>
      </c>
      <c r="AD17" s="279">
        <v>766828203</v>
      </c>
      <c r="AE17" s="279">
        <v>723278741</v>
      </c>
      <c r="AF17" s="279">
        <v>719515740</v>
      </c>
      <c r="AG17" s="279">
        <v>953457890</v>
      </c>
      <c r="AH17" s="279">
        <v>5042710000</v>
      </c>
      <c r="AI17" s="279">
        <v>5607217000</v>
      </c>
      <c r="AJ17" s="279">
        <v>162364784</v>
      </c>
      <c r="AK17" s="279">
        <v>244757498</v>
      </c>
      <c r="AL17" s="334">
        <f t="shared" ref="AL17:AS17" si="6">SUM(AL15:AL16)</f>
        <v>746305557</v>
      </c>
      <c r="AM17" s="334">
        <f t="shared" si="6"/>
        <v>835648180</v>
      </c>
      <c r="AN17" s="334">
        <f t="shared" si="6"/>
        <v>912998874</v>
      </c>
      <c r="AO17" s="334">
        <f t="shared" si="6"/>
        <v>924132193</v>
      </c>
      <c r="AP17" s="334">
        <f t="shared" si="6"/>
        <v>5531712000</v>
      </c>
      <c r="AQ17" s="334">
        <f t="shared" si="6"/>
        <v>6800445000</v>
      </c>
      <c r="AR17" s="334">
        <f t="shared" si="6"/>
        <v>235722113</v>
      </c>
      <c r="AS17" s="334">
        <f t="shared" si="6"/>
        <v>359592167</v>
      </c>
      <c r="AT17" s="279">
        <v>739898517</v>
      </c>
      <c r="AU17" s="279">
        <v>626482576</v>
      </c>
      <c r="AV17" s="279">
        <v>924132193</v>
      </c>
      <c r="AW17" s="279">
        <v>1007889202</v>
      </c>
      <c r="AX17" s="279">
        <v>6800445000</v>
      </c>
      <c r="AY17" s="279">
        <v>7357052000</v>
      </c>
      <c r="AZ17" s="279">
        <v>359592167</v>
      </c>
      <c r="BA17" s="279">
        <v>453884354</v>
      </c>
      <c r="BB17" s="279">
        <v>626431910</v>
      </c>
      <c r="BC17" s="279">
        <v>490980484</v>
      </c>
      <c r="BD17" s="279">
        <v>1007889202</v>
      </c>
      <c r="BE17" s="279">
        <v>924679037</v>
      </c>
      <c r="BF17" s="279">
        <v>7357052403</v>
      </c>
      <c r="BG17" s="279">
        <v>7735260123</v>
      </c>
      <c r="BH17" s="279">
        <v>1007889202</v>
      </c>
      <c r="BI17" s="279">
        <v>924679037</v>
      </c>
      <c r="BJ17" s="477">
        <f t="shared" ref="BJ17:BQ17" si="7">SUM(BJ15:BJ16)</f>
        <v>490980484</v>
      </c>
      <c r="BK17" s="477">
        <f t="shared" si="7"/>
        <v>476133186</v>
      </c>
      <c r="BL17" s="466">
        <f t="shared" si="7"/>
        <v>477070517</v>
      </c>
      <c r="BM17" s="466">
        <f t="shared" si="7"/>
        <v>508299356</v>
      </c>
      <c r="BN17" s="477">
        <f t="shared" si="7"/>
        <v>7735260123</v>
      </c>
      <c r="BO17" s="477">
        <f t="shared" si="7"/>
        <v>8862299328</v>
      </c>
      <c r="BP17" s="477">
        <f t="shared" si="7"/>
        <v>924679037</v>
      </c>
      <c r="BQ17" s="477">
        <f t="shared" si="7"/>
        <v>950020423</v>
      </c>
      <c r="BR17" s="537">
        <f>+BR16+BR15</f>
        <v>443190567</v>
      </c>
      <c r="BS17" s="537">
        <f t="shared" ref="BS17:CY17" si="8">+BS16+BS15</f>
        <v>160865638</v>
      </c>
      <c r="BT17" s="537">
        <f t="shared" si="8"/>
        <v>980578326</v>
      </c>
      <c r="BU17" s="537">
        <f t="shared" si="8"/>
        <v>328974024</v>
      </c>
      <c r="BV17" s="537">
        <f t="shared" si="8"/>
        <v>9307045218</v>
      </c>
      <c r="BW17" s="537">
        <f t="shared" si="8"/>
        <v>3257801263</v>
      </c>
      <c r="BX17" s="537">
        <f t="shared" si="8"/>
        <v>73350086</v>
      </c>
      <c r="BY17" s="537">
        <f t="shared" si="8"/>
        <v>83752037</v>
      </c>
      <c r="BZ17" s="537">
        <f t="shared" si="8"/>
        <v>765247109</v>
      </c>
      <c r="CA17" s="537">
        <f t="shared" si="8"/>
        <v>410841381</v>
      </c>
      <c r="CB17" s="537">
        <f t="shared" si="8"/>
        <v>383586613</v>
      </c>
      <c r="CC17" s="537">
        <f t="shared" si="8"/>
        <v>138930499</v>
      </c>
      <c r="CD17" s="537">
        <f t="shared" si="8"/>
        <v>160865638</v>
      </c>
      <c r="CE17" s="537">
        <f t="shared" si="8"/>
        <v>391454244</v>
      </c>
      <c r="CF17" s="537">
        <f t="shared" si="8"/>
        <v>328974024</v>
      </c>
      <c r="CG17" s="537">
        <f t="shared" si="8"/>
        <v>927377776</v>
      </c>
      <c r="CH17" s="537">
        <f t="shared" si="8"/>
        <v>3257801263</v>
      </c>
      <c r="CI17" s="537">
        <f t="shared" si="8"/>
        <v>4388774448</v>
      </c>
      <c r="CJ17" s="537">
        <f t="shared" si="8"/>
        <v>83752037</v>
      </c>
      <c r="CK17" s="537">
        <f t="shared" si="8"/>
        <v>120595436</v>
      </c>
      <c r="CL17" s="537">
        <f t="shared" si="8"/>
        <v>410841381</v>
      </c>
      <c r="CM17" s="537">
        <f t="shared" si="8"/>
        <v>1021983263</v>
      </c>
      <c r="CN17" s="537">
        <f t="shared" si="8"/>
        <v>138930499</v>
      </c>
      <c r="CO17" s="537">
        <f t="shared" si="8"/>
        <v>317550795</v>
      </c>
      <c r="CP17" s="537">
        <f t="shared" si="8"/>
        <v>11457655278000</v>
      </c>
      <c r="CQ17" s="537">
        <f t="shared" si="8"/>
        <v>13610827125000</v>
      </c>
      <c r="CR17" s="537">
        <f t="shared" si="8"/>
        <v>1783845465000</v>
      </c>
      <c r="CS17" s="537">
        <f t="shared" si="8"/>
        <v>2405602529000</v>
      </c>
      <c r="CT17" s="537">
        <f t="shared" si="8"/>
        <v>659577310000</v>
      </c>
      <c r="CU17" s="537">
        <f t="shared" si="8"/>
        <v>837013838000</v>
      </c>
      <c r="CV17" s="537">
        <f t="shared" si="8"/>
        <v>524361397000</v>
      </c>
      <c r="CW17" s="537">
        <f t="shared" si="8"/>
        <v>568119146000</v>
      </c>
      <c r="CX17" s="537">
        <f t="shared" si="8"/>
        <v>199646669000</v>
      </c>
      <c r="CY17" s="537">
        <f t="shared" si="8"/>
        <v>235320960000</v>
      </c>
    </row>
    <row r="18" spans="1:103" ht="15.75" thickBot="1" x14ac:dyDescent="0.3">
      <c r="A18" s="6" t="s">
        <v>29</v>
      </c>
      <c r="B18" s="1">
        <v>526979583</v>
      </c>
      <c r="C18" s="1">
        <v>509195410</v>
      </c>
      <c r="D18" s="1">
        <v>504711909</v>
      </c>
      <c r="E18" s="1">
        <v>615793858</v>
      </c>
      <c r="F18" s="1">
        <v>675632061</v>
      </c>
      <c r="G18" s="1">
        <v>2154673000</v>
      </c>
      <c r="H18" s="1">
        <v>2185760000</v>
      </c>
      <c r="I18" s="1">
        <v>2974761000</v>
      </c>
      <c r="J18" s="1">
        <v>3541503000</v>
      </c>
      <c r="K18" s="1">
        <v>3834255000</v>
      </c>
      <c r="L18" s="1">
        <v>189158234</v>
      </c>
      <c r="M18" s="1">
        <v>256122472</v>
      </c>
      <c r="N18" s="1">
        <v>530641939</v>
      </c>
      <c r="O18" s="1">
        <v>634679136</v>
      </c>
      <c r="P18" s="1">
        <v>759230662</v>
      </c>
      <c r="Q18" s="1"/>
      <c r="R18" s="1"/>
      <c r="S18" s="1"/>
      <c r="T18" s="1"/>
      <c r="U18" s="1">
        <v>64091207</v>
      </c>
      <c r="V18" s="1">
        <v>675632061</v>
      </c>
      <c r="W18" s="1">
        <v>711503006</v>
      </c>
      <c r="X18" s="1">
        <v>759230662</v>
      </c>
      <c r="Y18" s="1">
        <v>877945110</v>
      </c>
      <c r="Z18" s="1">
        <v>3834255000</v>
      </c>
      <c r="AA18" s="1">
        <v>4422387000</v>
      </c>
      <c r="AB18" s="1">
        <v>64091207</v>
      </c>
      <c r="AC18" s="1">
        <v>169115052</v>
      </c>
      <c r="AD18" s="1">
        <v>711503006</v>
      </c>
      <c r="AE18" s="1">
        <v>730955605</v>
      </c>
      <c r="AF18" s="1">
        <v>877945110</v>
      </c>
      <c r="AG18" s="1">
        <v>1000255146</v>
      </c>
      <c r="AH18" s="1">
        <v>4422387000</v>
      </c>
      <c r="AI18" s="1">
        <v>5077340000</v>
      </c>
      <c r="AJ18" s="1">
        <v>169115052</v>
      </c>
      <c r="AK18" s="1">
        <v>224181218</v>
      </c>
      <c r="AL18" s="332">
        <v>765213641</v>
      </c>
      <c r="AM18" s="332">
        <v>847912600</v>
      </c>
      <c r="AN18" s="332">
        <v>749375199</v>
      </c>
      <c r="AO18" s="332">
        <v>785819781</v>
      </c>
      <c r="AP18" s="332">
        <v>5016629000</v>
      </c>
      <c r="AQ18" s="332">
        <v>6362795000</v>
      </c>
      <c r="AR18" s="332">
        <v>219585161</v>
      </c>
      <c r="AS18" s="332">
        <v>350425499</v>
      </c>
      <c r="AT18" s="1">
        <v>847912600</v>
      </c>
      <c r="AU18" s="1">
        <v>638751380</v>
      </c>
      <c r="AV18" s="1">
        <v>1034919188</v>
      </c>
      <c r="AW18" s="1">
        <v>1057561055</v>
      </c>
      <c r="AX18" s="1">
        <v>6362795000</v>
      </c>
      <c r="AY18" s="1">
        <v>6840593000</v>
      </c>
      <c r="AZ18" s="1">
        <v>350425499</v>
      </c>
      <c r="BA18" s="1">
        <v>469391000</v>
      </c>
      <c r="BB18" s="1">
        <v>638700714</v>
      </c>
      <c r="BC18" s="1">
        <v>475895757</v>
      </c>
      <c r="BD18" s="1">
        <v>1057561055</v>
      </c>
      <c r="BE18" s="1">
        <v>912263193</v>
      </c>
      <c r="BF18" s="1">
        <v>6840592992</v>
      </c>
      <c r="BG18" s="1">
        <v>7415635257</v>
      </c>
      <c r="BH18" s="34">
        <v>1057561055</v>
      </c>
      <c r="BI18" s="34">
        <v>912263193</v>
      </c>
      <c r="BJ18" s="332">
        <v>475895757</v>
      </c>
      <c r="BK18" s="332">
        <v>446539165</v>
      </c>
      <c r="BL18" s="332">
        <v>515129921</v>
      </c>
      <c r="BM18" s="332">
        <v>595503049</v>
      </c>
      <c r="BN18" s="332">
        <v>7415635257</v>
      </c>
      <c r="BO18" s="332">
        <v>8207117413</v>
      </c>
      <c r="BP18" s="332">
        <f>718513266+141804544+9634380+32754321+9556682</f>
        <v>912263193</v>
      </c>
      <c r="BQ18" s="354">
        <f>658946097+95166346+17631049+155591773+18466372</f>
        <v>945801637</v>
      </c>
      <c r="BR18" s="519">
        <v>421407718</v>
      </c>
      <c r="BS18" s="519">
        <v>230951518</v>
      </c>
      <c r="BT18" s="519">
        <v>42316612</v>
      </c>
      <c r="BU18" s="519">
        <v>38301789</v>
      </c>
      <c r="BV18" s="519">
        <v>10133122181</v>
      </c>
      <c r="BW18" s="519">
        <v>4556430799</v>
      </c>
      <c r="BX18" s="519">
        <v>73920716</v>
      </c>
      <c r="BY18" s="519">
        <v>69684475</v>
      </c>
      <c r="BZ18" s="519">
        <v>894237424</v>
      </c>
      <c r="CA18" s="519">
        <v>718934555</v>
      </c>
      <c r="CB18" s="519">
        <v>38564688</v>
      </c>
      <c r="CC18" s="519">
        <v>59365782</v>
      </c>
      <c r="CD18" s="519">
        <v>230951518</v>
      </c>
      <c r="CE18" s="519">
        <v>351193489</v>
      </c>
      <c r="CF18" s="519">
        <v>38301789</v>
      </c>
      <c r="CG18" s="519">
        <v>30351702</v>
      </c>
      <c r="CH18" s="519">
        <v>4556430799</v>
      </c>
      <c r="CI18" s="519">
        <v>8474481536</v>
      </c>
      <c r="CJ18" s="519">
        <v>69684475</v>
      </c>
      <c r="CK18" s="519">
        <v>175621699</v>
      </c>
      <c r="CL18" s="519">
        <v>718934555</v>
      </c>
      <c r="CM18" s="519">
        <v>972390576</v>
      </c>
      <c r="CN18" s="519">
        <f>6192096+9608867</f>
        <v>15800963</v>
      </c>
      <c r="CO18" s="519">
        <f>10944745+10094404</f>
        <v>21039149</v>
      </c>
      <c r="CP18" s="493">
        <v>11516997208000</v>
      </c>
      <c r="CQ18" s="493">
        <v>11964142640000</v>
      </c>
      <c r="CR18" s="493">
        <v>2078383462000</v>
      </c>
      <c r="CS18" s="493">
        <v>2283962894000</v>
      </c>
      <c r="CT18" s="493">
        <v>690488679000</v>
      </c>
      <c r="CU18" s="493">
        <v>763598864000</v>
      </c>
      <c r="CV18" s="493">
        <v>462781900000</v>
      </c>
      <c r="CW18" s="493">
        <v>448174961000</v>
      </c>
      <c r="CX18" s="493">
        <v>182683711000</v>
      </c>
      <c r="CY18" s="493">
        <v>250541468000</v>
      </c>
    </row>
    <row r="19" spans="1:103" ht="15.75" thickBot="1" x14ac:dyDescent="0.3">
      <c r="A19" s="6" t="s">
        <v>30</v>
      </c>
      <c r="B19" s="1">
        <v>72647124</v>
      </c>
      <c r="C19" s="1">
        <v>0</v>
      </c>
      <c r="D19" s="1">
        <v>0</v>
      </c>
      <c r="E19" s="1"/>
      <c r="F19" s="1">
        <v>5241469</v>
      </c>
      <c r="G19" s="1">
        <v>399281000</v>
      </c>
      <c r="H19" s="1">
        <v>282526000</v>
      </c>
      <c r="I19" s="1">
        <v>481710000</v>
      </c>
      <c r="J19" s="1">
        <v>227534000</v>
      </c>
      <c r="K19" s="1">
        <v>313617000</v>
      </c>
      <c r="L19" s="1">
        <v>23186667</v>
      </c>
      <c r="M19" s="1">
        <v>30704243</v>
      </c>
      <c r="N19" s="1">
        <v>0</v>
      </c>
      <c r="O19" s="1">
        <v>27325319</v>
      </c>
      <c r="P19" s="1">
        <v>33353126</v>
      </c>
      <c r="Q19" s="1"/>
      <c r="R19" s="1"/>
      <c r="S19" s="1"/>
      <c r="T19" s="1"/>
      <c r="U19" s="1">
        <v>870161</v>
      </c>
      <c r="V19" s="1">
        <v>5241469</v>
      </c>
      <c r="W19" s="1">
        <v>14823192</v>
      </c>
      <c r="X19" s="1">
        <v>33353126</v>
      </c>
      <c r="Y19" s="1">
        <v>20843045</v>
      </c>
      <c r="Z19" s="1">
        <v>313617000</v>
      </c>
      <c r="AA19" s="1">
        <v>303918000</v>
      </c>
      <c r="AB19" s="1">
        <v>870161</v>
      </c>
      <c r="AC19" s="1">
        <v>2077998</v>
      </c>
      <c r="AD19" s="1">
        <v>14823192</v>
      </c>
      <c r="AE19" s="1">
        <v>6099143</v>
      </c>
      <c r="AF19" s="1">
        <v>20843045</v>
      </c>
      <c r="AG19" s="1">
        <v>50346801</v>
      </c>
      <c r="AH19" s="1">
        <v>303918000</v>
      </c>
      <c r="AI19" s="1">
        <v>601300000</v>
      </c>
      <c r="AJ19" s="1">
        <v>2077998</v>
      </c>
      <c r="AK19" s="1">
        <v>7808513</v>
      </c>
      <c r="AL19" s="332"/>
      <c r="AM19" s="332">
        <v>139764679</v>
      </c>
      <c r="AN19" s="332">
        <v>249230948</v>
      </c>
      <c r="AO19" s="332">
        <v>252270952</v>
      </c>
      <c r="AP19" s="332">
        <v>160971000</v>
      </c>
      <c r="AQ19" s="332">
        <v>726682000</v>
      </c>
      <c r="AR19" s="332"/>
      <c r="AS19" s="332"/>
      <c r="AT19" s="1">
        <v>44014971</v>
      </c>
      <c r="AU19" s="1">
        <v>2023825</v>
      </c>
      <c r="AV19" s="1">
        <v>3608882</v>
      </c>
      <c r="AW19" s="1">
        <v>5388326</v>
      </c>
      <c r="AX19" s="1">
        <v>726682000</v>
      </c>
      <c r="AY19" s="1">
        <v>350693000</v>
      </c>
      <c r="AZ19" s="1"/>
      <c r="BA19" s="1">
        <v>8499443</v>
      </c>
      <c r="BB19" s="1">
        <v>2023825</v>
      </c>
      <c r="BC19" s="1"/>
      <c r="BD19" s="34">
        <v>4935440</v>
      </c>
      <c r="BE19" s="34">
        <v>4784211</v>
      </c>
      <c r="BF19" s="1">
        <v>350693092</v>
      </c>
      <c r="BG19" s="1">
        <v>266605612</v>
      </c>
      <c r="BH19" s="34">
        <v>4935440</v>
      </c>
      <c r="BI19" s="34">
        <v>4784211</v>
      </c>
      <c r="BJ19" s="332"/>
      <c r="BK19" s="332">
        <v>12676247</v>
      </c>
      <c r="BL19" s="354">
        <v>3503764</v>
      </c>
      <c r="BM19" s="354">
        <v>2203263</v>
      </c>
      <c r="BN19" s="332">
        <f>245540849+5380092+15684671</f>
        <v>266605612</v>
      </c>
      <c r="BO19" s="332">
        <v>358368262</v>
      </c>
      <c r="BP19" s="354">
        <f>3368995+1415216</f>
        <v>4784211</v>
      </c>
      <c r="BQ19" s="354">
        <v>3709706</v>
      </c>
      <c r="CP19" s="499">
        <v>737408395000</v>
      </c>
      <c r="CQ19" s="496">
        <v>1416153049000</v>
      </c>
      <c r="CR19" s="496">
        <v>128315276000</v>
      </c>
      <c r="CS19" s="496">
        <v>180337677000</v>
      </c>
      <c r="CT19" s="502"/>
      <c r="CU19" s="502"/>
      <c r="CV19" s="496">
        <v>33659544000</v>
      </c>
      <c r="CW19" s="496">
        <v>65632940000</v>
      </c>
      <c r="CX19" s="496">
        <v>184902000</v>
      </c>
      <c r="CY19" s="496">
        <v>9649649000</v>
      </c>
    </row>
    <row r="20" spans="1:103" ht="15.75" thickBot="1" x14ac:dyDescent="0.3">
      <c r="A20" s="6" t="s">
        <v>31</v>
      </c>
      <c r="B20" s="1">
        <v>-5485466</v>
      </c>
      <c r="C20" s="1">
        <v>961870</v>
      </c>
      <c r="D20" s="1">
        <v>1292628</v>
      </c>
      <c r="E20" s="1">
        <v>11520990</v>
      </c>
      <c r="F20" s="1">
        <v>2812470</v>
      </c>
      <c r="G20" s="1">
        <v>-15670000</v>
      </c>
      <c r="H20" s="1">
        <v>-11325000</v>
      </c>
      <c r="I20" s="1">
        <v>53783000</v>
      </c>
      <c r="J20" s="1">
        <v>71492000</v>
      </c>
      <c r="K20" s="1">
        <v>77812000</v>
      </c>
      <c r="L20" s="1">
        <v>12650</v>
      </c>
      <c r="M20" s="1">
        <v>29702</v>
      </c>
      <c r="N20" s="1">
        <v>15513</v>
      </c>
      <c r="O20" s="1">
        <v>23709</v>
      </c>
      <c r="P20" s="1">
        <v>386521</v>
      </c>
      <c r="Q20" s="1"/>
      <c r="R20" s="1"/>
      <c r="S20" s="1"/>
      <c r="T20" s="1"/>
      <c r="U20" s="1">
        <v>78000</v>
      </c>
      <c r="V20" s="1">
        <v>2812470</v>
      </c>
      <c r="W20" s="1"/>
      <c r="X20" s="1">
        <v>386521</v>
      </c>
      <c r="Y20" s="1">
        <v>931526</v>
      </c>
      <c r="Z20" s="1">
        <v>77812000</v>
      </c>
      <c r="AA20" s="1">
        <v>76695000</v>
      </c>
      <c r="AB20" s="1">
        <v>78000</v>
      </c>
      <c r="AC20" s="1">
        <v>244</v>
      </c>
      <c r="AD20" s="1"/>
      <c r="AE20" s="1"/>
      <c r="AF20" s="1">
        <v>931526</v>
      </c>
      <c r="AG20" s="1">
        <v>1230856</v>
      </c>
      <c r="AH20" s="1">
        <v>76695000</v>
      </c>
      <c r="AI20" s="1">
        <v>-4817000</v>
      </c>
      <c r="AJ20" s="1">
        <v>244</v>
      </c>
      <c r="AK20" s="1">
        <v>1517887</v>
      </c>
      <c r="AL20" s="332">
        <v>7798914</v>
      </c>
      <c r="AM20" s="332">
        <v>-17403923</v>
      </c>
      <c r="AN20" s="332">
        <v>-17640869</v>
      </c>
      <c r="AO20" s="332">
        <v>-46872826</v>
      </c>
      <c r="AP20" s="332">
        <v>76492000</v>
      </c>
      <c r="AQ20" s="332">
        <v>60614000</v>
      </c>
      <c r="AR20" s="332">
        <v>6195340</v>
      </c>
      <c r="AS20" s="332">
        <v>6251709</v>
      </c>
      <c r="AT20" s="1">
        <v>-17403923</v>
      </c>
      <c r="AU20" s="1">
        <v>-6848750</v>
      </c>
      <c r="AV20" s="1">
        <v>-46872826</v>
      </c>
      <c r="AW20" s="1">
        <v>-4317837</v>
      </c>
      <c r="AX20" s="1">
        <v>60614000</v>
      </c>
      <c r="AY20" s="1">
        <v>5930000</v>
      </c>
      <c r="AZ20" s="1">
        <v>6251709</v>
      </c>
      <c r="BA20" s="1">
        <v>-4355133</v>
      </c>
      <c r="BB20" s="1">
        <v>-6848750</v>
      </c>
      <c r="BC20" s="1">
        <v>8351603</v>
      </c>
      <c r="BD20" s="34">
        <v>-4317837</v>
      </c>
      <c r="BE20" s="34">
        <v>-683971</v>
      </c>
      <c r="BF20" s="1">
        <v>5930353</v>
      </c>
      <c r="BG20" s="1">
        <v>3965837</v>
      </c>
      <c r="BH20" s="34">
        <v>-3864951</v>
      </c>
      <c r="BI20" s="34">
        <v>-516914</v>
      </c>
      <c r="BJ20" s="332">
        <v>8351603</v>
      </c>
      <c r="BK20" s="332">
        <v>14390199</v>
      </c>
      <c r="BL20" s="354">
        <v>-4039749</v>
      </c>
      <c r="BM20" s="354">
        <v>-24063432</v>
      </c>
      <c r="BN20" s="332">
        <v>3965837</v>
      </c>
      <c r="BO20" s="332">
        <v>28036695</v>
      </c>
      <c r="BP20" s="354">
        <v>-683971</v>
      </c>
      <c r="BQ20" s="354">
        <f>45888+22094478-1032700</f>
        <v>21107666</v>
      </c>
      <c r="BR20" s="525">
        <v>9409929</v>
      </c>
      <c r="BS20" s="525">
        <v>23317603</v>
      </c>
      <c r="BT20" s="525">
        <v>25580206</v>
      </c>
      <c r="BU20" s="525">
        <v>155388683</v>
      </c>
      <c r="BV20" s="525">
        <v>13066738</v>
      </c>
      <c r="BW20" s="525">
        <v>7213690</v>
      </c>
      <c r="BX20" s="525">
        <v>152203</v>
      </c>
      <c r="BY20" s="525">
        <v>6115903</v>
      </c>
      <c r="BZ20" s="525">
        <v>38923731</v>
      </c>
      <c r="CA20" s="525"/>
      <c r="CB20" s="525">
        <v>22325740</v>
      </c>
      <c r="CC20" s="525">
        <v>24495221</v>
      </c>
      <c r="CD20" s="525">
        <v>23317603</v>
      </c>
      <c r="CE20" s="525">
        <v>13299404</v>
      </c>
      <c r="CF20" s="525">
        <v>155388683</v>
      </c>
      <c r="CG20" s="525">
        <v>0</v>
      </c>
      <c r="CH20" s="525">
        <v>7213690</v>
      </c>
      <c r="CI20" s="525">
        <v>1159642</v>
      </c>
      <c r="CJ20" s="525">
        <v>6115903</v>
      </c>
      <c r="CK20" s="525">
        <v>6815599</v>
      </c>
      <c r="CL20" s="525">
        <v>0</v>
      </c>
      <c r="CM20" s="525">
        <v>57984306</v>
      </c>
      <c r="CN20" s="525">
        <v>24495221</v>
      </c>
      <c r="CO20" s="525">
        <v>2639216</v>
      </c>
      <c r="CP20" s="499">
        <v>-4463262000</v>
      </c>
      <c r="CQ20" s="535">
        <v>-5798848000</v>
      </c>
      <c r="CR20" s="502"/>
      <c r="CS20" s="502"/>
      <c r="CT20" s="535">
        <v>433961000</v>
      </c>
      <c r="CU20" s="535">
        <v>-13909777000</v>
      </c>
      <c r="CV20" s="535">
        <v>-24354526000</v>
      </c>
      <c r="CW20" s="535">
        <v>-15172861000</v>
      </c>
      <c r="CX20" s="535">
        <v>-4921398000</v>
      </c>
      <c r="CY20" s="535">
        <v>377067000</v>
      </c>
    </row>
    <row r="21" spans="1:103" ht="15.75" thickBot="1" x14ac:dyDescent="0.3">
      <c r="A21" s="16" t="s">
        <v>32</v>
      </c>
      <c r="B21" s="3">
        <v>594141241</v>
      </c>
      <c r="C21" s="3">
        <v>510157280</v>
      </c>
      <c r="D21" s="3">
        <v>506004537</v>
      </c>
      <c r="E21" s="3">
        <v>627314848</v>
      </c>
      <c r="F21" s="3">
        <v>683686000</v>
      </c>
      <c r="G21" s="3">
        <v>2538284000</v>
      </c>
      <c r="H21" s="3">
        <v>2456961000</v>
      </c>
      <c r="I21" s="3">
        <v>3510254000</v>
      </c>
      <c r="J21" s="3">
        <v>3840529000</v>
      </c>
      <c r="K21" s="3">
        <v>4225684000</v>
      </c>
      <c r="L21" s="3">
        <v>212357551</v>
      </c>
      <c r="M21" s="3">
        <v>286856417</v>
      </c>
      <c r="N21" s="3">
        <v>530657452</v>
      </c>
      <c r="O21" s="3">
        <v>662028164</v>
      </c>
      <c r="P21" s="3">
        <v>792970309</v>
      </c>
      <c r="Q21" s="3">
        <v>0</v>
      </c>
      <c r="R21" s="3">
        <v>0</v>
      </c>
      <c r="S21" s="3">
        <v>0</v>
      </c>
      <c r="T21" s="3">
        <v>0</v>
      </c>
      <c r="U21" s="3">
        <v>65039368</v>
      </c>
      <c r="V21" s="3">
        <v>683686000</v>
      </c>
      <c r="W21" s="3">
        <v>726326198</v>
      </c>
      <c r="X21" s="3">
        <v>792970309</v>
      </c>
      <c r="Y21" s="3">
        <v>899719681</v>
      </c>
      <c r="Z21" s="3">
        <v>4225684000</v>
      </c>
      <c r="AA21" s="3">
        <v>4803000000</v>
      </c>
      <c r="AB21" s="3">
        <v>65039368</v>
      </c>
      <c r="AC21" s="3">
        <v>171193294</v>
      </c>
      <c r="AD21" s="3">
        <v>726326198</v>
      </c>
      <c r="AE21" s="3">
        <v>737054748</v>
      </c>
      <c r="AF21" s="3">
        <v>899719681</v>
      </c>
      <c r="AG21" s="3">
        <v>1051832803</v>
      </c>
      <c r="AH21" s="3">
        <v>4803000000</v>
      </c>
      <c r="AI21" s="3">
        <v>5673823000</v>
      </c>
      <c r="AJ21" s="3">
        <v>171193294</v>
      </c>
      <c r="AK21" s="3">
        <v>233507618</v>
      </c>
      <c r="AL21" s="341">
        <f t="shared" ref="AL21:AS21" si="9">SUM(AL18:AL20)</f>
        <v>773012555</v>
      </c>
      <c r="AM21" s="341">
        <f>SUM(AM18:AM20)</f>
        <v>970273356</v>
      </c>
      <c r="AN21" s="341">
        <f>SUM(AN18:AN20)</f>
        <v>980965278</v>
      </c>
      <c r="AO21" s="341">
        <f t="shared" si="9"/>
        <v>991217907</v>
      </c>
      <c r="AP21" s="341">
        <f t="shared" si="9"/>
        <v>5254092000</v>
      </c>
      <c r="AQ21" s="341">
        <f t="shared" si="9"/>
        <v>7150091000</v>
      </c>
      <c r="AR21" s="341">
        <f t="shared" si="9"/>
        <v>225780501</v>
      </c>
      <c r="AS21" s="341">
        <f t="shared" si="9"/>
        <v>356677208</v>
      </c>
      <c r="AT21" s="3">
        <v>874523648</v>
      </c>
      <c r="AU21" s="3">
        <v>633926455</v>
      </c>
      <c r="AV21" s="3">
        <v>991655244</v>
      </c>
      <c r="AW21" s="3">
        <v>1058631544</v>
      </c>
      <c r="AX21" s="3">
        <v>7150091000</v>
      </c>
      <c r="AY21" s="3">
        <v>7197216000</v>
      </c>
      <c r="AZ21" s="3">
        <v>356677208</v>
      </c>
      <c r="BA21" s="3">
        <v>473535310</v>
      </c>
      <c r="BB21" s="3">
        <v>633875789</v>
      </c>
      <c r="BC21" s="3">
        <v>484247360</v>
      </c>
      <c r="BD21" s="3">
        <v>1058178658</v>
      </c>
      <c r="BE21" s="3">
        <v>916363433</v>
      </c>
      <c r="BF21" s="3">
        <v>7197216437</v>
      </c>
      <c r="BG21" s="3">
        <v>7686206706</v>
      </c>
      <c r="BH21" s="3">
        <v>1058631544</v>
      </c>
      <c r="BI21" s="3">
        <v>916530490</v>
      </c>
      <c r="BJ21" s="479">
        <f t="shared" ref="BJ21:BQ21" si="10">SUM(BJ18:BJ20)</f>
        <v>484247360</v>
      </c>
      <c r="BK21" s="479">
        <f t="shared" si="10"/>
        <v>473605611</v>
      </c>
      <c r="BL21" s="478">
        <f t="shared" si="10"/>
        <v>514593936</v>
      </c>
      <c r="BM21" s="478">
        <f t="shared" si="10"/>
        <v>573642880</v>
      </c>
      <c r="BN21" s="479">
        <f t="shared" si="10"/>
        <v>7686206706</v>
      </c>
      <c r="BO21" s="479">
        <f t="shared" si="10"/>
        <v>8593522370</v>
      </c>
      <c r="BP21" s="478">
        <f t="shared" si="10"/>
        <v>916363433</v>
      </c>
      <c r="BQ21" s="478">
        <f t="shared" si="10"/>
        <v>970619009</v>
      </c>
    </row>
    <row r="22" spans="1:103" ht="15.75" thickBot="1" x14ac:dyDescent="0.3">
      <c r="A22" s="19" t="s">
        <v>33</v>
      </c>
      <c r="B22" s="20">
        <v>398897</v>
      </c>
      <c r="C22" s="20">
        <v>5358387</v>
      </c>
      <c r="D22" s="20">
        <v>-18470911</v>
      </c>
      <c r="E22" s="20">
        <v>15172767</v>
      </c>
      <c r="F22" s="20">
        <v>6530045</v>
      </c>
      <c r="G22" s="20">
        <v>710704000</v>
      </c>
      <c r="H22" s="20">
        <v>655516000</v>
      </c>
      <c r="I22" s="20">
        <v>358988000</v>
      </c>
      <c r="J22" s="20">
        <v>463026000</v>
      </c>
      <c r="K22" s="20">
        <v>578408000</v>
      </c>
      <c r="L22" s="20">
        <v>10086291</v>
      </c>
      <c r="M22" s="20">
        <v>8255781</v>
      </c>
      <c r="N22" s="20">
        <v>-107694830</v>
      </c>
      <c r="O22" s="20">
        <v>-145340424</v>
      </c>
      <c r="P22" s="20">
        <v>-231986407</v>
      </c>
      <c r="Q22" s="20">
        <v>0</v>
      </c>
      <c r="R22" s="20">
        <v>0</v>
      </c>
      <c r="S22" s="20">
        <v>0</v>
      </c>
      <c r="T22" s="20">
        <v>0</v>
      </c>
      <c r="U22" s="23">
        <v>-17280963</v>
      </c>
      <c r="V22" s="221">
        <v>6530045</v>
      </c>
      <c r="W22" s="221">
        <v>40560791</v>
      </c>
      <c r="X22" s="221">
        <v>-231986407</v>
      </c>
      <c r="Y22" s="221">
        <v>-190518973</v>
      </c>
      <c r="Z22" s="221">
        <v>578408000</v>
      </c>
      <c r="AA22" s="221">
        <v>531790000</v>
      </c>
      <c r="AB22" s="221">
        <v>-17280963</v>
      </c>
      <c r="AC22" s="221">
        <v>-9157092</v>
      </c>
      <c r="AD22" s="276">
        <v>40560791</v>
      </c>
      <c r="AE22" s="278">
        <v>-7676864</v>
      </c>
      <c r="AF22" s="278">
        <v>-190518973</v>
      </c>
      <c r="AG22" s="278">
        <v>-104557068</v>
      </c>
      <c r="AH22" s="276">
        <v>531790000</v>
      </c>
      <c r="AI22" s="276">
        <v>299486000</v>
      </c>
      <c r="AJ22" s="278">
        <v>-9157092</v>
      </c>
      <c r="AK22" s="276">
        <v>8596001</v>
      </c>
      <c r="AL22" s="342">
        <f t="shared" ref="AL22:AS22" si="11">+AL15-AL18</f>
        <v>-29834404</v>
      </c>
      <c r="AM22" s="342">
        <f t="shared" si="11"/>
        <v>-13928894</v>
      </c>
      <c r="AN22" s="343">
        <f t="shared" si="11"/>
        <v>97737350</v>
      </c>
      <c r="AO22" s="343">
        <f t="shared" si="11"/>
        <v>56171270</v>
      </c>
      <c r="AP22" s="344">
        <f t="shared" si="11"/>
        <v>346760000</v>
      </c>
      <c r="AQ22" s="344">
        <f t="shared" si="11"/>
        <v>168450000</v>
      </c>
      <c r="AR22" s="344">
        <f t="shared" si="11"/>
        <v>14995853</v>
      </c>
      <c r="AS22" s="344">
        <f t="shared" si="11"/>
        <v>7289137</v>
      </c>
      <c r="AT22" s="278">
        <v>-114003812</v>
      </c>
      <c r="AU22" s="278">
        <v>-50840423</v>
      </c>
      <c r="AV22" s="278">
        <v>-114332305</v>
      </c>
      <c r="AW22" s="278">
        <v>-50377797</v>
      </c>
      <c r="AX22" s="448">
        <v>168450000</v>
      </c>
      <c r="AY22" s="448">
        <v>306131000</v>
      </c>
      <c r="AZ22" s="276">
        <v>7289137</v>
      </c>
      <c r="BA22" s="278">
        <v>-15506646</v>
      </c>
      <c r="BB22" s="278">
        <v>-49384109</v>
      </c>
      <c r="BC22" s="448">
        <v>7110186</v>
      </c>
      <c r="BD22" s="278">
        <v>-160697670</v>
      </c>
      <c r="BE22" s="278">
        <v>-57756570</v>
      </c>
      <c r="BF22" s="448">
        <v>306131280</v>
      </c>
      <c r="BG22" s="448">
        <v>262523911</v>
      </c>
      <c r="BH22" s="276">
        <v>-50377797</v>
      </c>
      <c r="BI22" s="448">
        <v>11174397</v>
      </c>
      <c r="BJ22" s="466">
        <f t="shared" ref="BJ22:BQ22" si="12">+BJ15-BJ18</f>
        <v>7110186</v>
      </c>
      <c r="BK22" s="466">
        <f t="shared" si="12"/>
        <v>26853551</v>
      </c>
      <c r="BL22" s="466">
        <f t="shared" si="12"/>
        <v>-38059404</v>
      </c>
      <c r="BM22" s="466">
        <f t="shared" si="12"/>
        <v>-87203693</v>
      </c>
      <c r="BN22" s="477">
        <f t="shared" si="12"/>
        <v>262523911</v>
      </c>
      <c r="BO22" s="477">
        <f t="shared" si="12"/>
        <v>460480292</v>
      </c>
      <c r="BP22" s="477">
        <f t="shared" si="12"/>
        <v>-57756570</v>
      </c>
      <c r="BQ22" s="477">
        <f t="shared" si="12"/>
        <v>-5005948</v>
      </c>
      <c r="BR22" s="528">
        <v>21782849</v>
      </c>
      <c r="BS22" s="444">
        <v>-70085880</v>
      </c>
      <c r="BT22" s="517">
        <v>54932186</v>
      </c>
      <c r="BU22" s="444">
        <v>-209362913</v>
      </c>
      <c r="BV22" s="444">
        <v>-826076963</v>
      </c>
      <c r="BW22" s="444">
        <v>-1298629536</v>
      </c>
      <c r="BX22" s="518">
        <v>570630</v>
      </c>
      <c r="BY22" s="518">
        <v>14067562</v>
      </c>
      <c r="BZ22" s="444">
        <v>-128990315</v>
      </c>
      <c r="CA22" s="444">
        <v>-308093174</v>
      </c>
      <c r="CB22" s="527">
        <v>77302905</v>
      </c>
      <c r="CC22" s="527">
        <v>99637003</v>
      </c>
      <c r="CD22" s="433">
        <v>-70085880</v>
      </c>
      <c r="CE22" s="444">
        <v>40260755</v>
      </c>
      <c r="CF22" s="433">
        <v>-209362913</v>
      </c>
      <c r="CG22" s="444">
        <v>96528889</v>
      </c>
      <c r="CH22" s="433">
        <v>-1298629536</v>
      </c>
      <c r="CI22" s="433">
        <v>-4085707088</v>
      </c>
      <c r="CJ22" s="518">
        <v>14067562</v>
      </c>
      <c r="CK22" s="433">
        <v>-55026263</v>
      </c>
      <c r="CL22" s="433">
        <v>-308093174</v>
      </c>
      <c r="CM22" s="444">
        <v>49592687</v>
      </c>
      <c r="CN22" s="527">
        <v>99637003</v>
      </c>
      <c r="CO22" s="444">
        <v>26932708</v>
      </c>
      <c r="CP22" s="500">
        <v>-256658652000</v>
      </c>
      <c r="CQ22" s="494">
        <v>1611114268000</v>
      </c>
      <c r="CR22" s="494">
        <v>-365478893000</v>
      </c>
      <c r="CS22" s="494">
        <v>-36869603000</v>
      </c>
      <c r="CT22" s="494">
        <v>-32371126000</v>
      </c>
      <c r="CU22" s="494">
        <v>57208093000</v>
      </c>
      <c r="CV22" s="494">
        <v>30920741000</v>
      </c>
      <c r="CW22" s="494">
        <v>83138856000</v>
      </c>
      <c r="CX22" s="494">
        <v>12789803000</v>
      </c>
      <c r="CY22" s="494">
        <v>-15842604000</v>
      </c>
    </row>
    <row r="23" spans="1:103" ht="15.75" thickBot="1" x14ac:dyDescent="0.3">
      <c r="A23" s="17" t="s">
        <v>34</v>
      </c>
      <c r="B23" s="21">
        <v>-66762761</v>
      </c>
      <c r="C23" s="18">
        <v>1356845</v>
      </c>
      <c r="D23" s="21">
        <v>-14992839</v>
      </c>
      <c r="E23" s="18">
        <v>6732929</v>
      </c>
      <c r="F23" s="18">
        <v>-1523894</v>
      </c>
      <c r="G23" s="18">
        <v>661725000</v>
      </c>
      <c r="H23" s="18">
        <v>555373000</v>
      </c>
      <c r="I23" s="21">
        <v>-10778000</v>
      </c>
      <c r="J23" s="18">
        <v>342917000</v>
      </c>
      <c r="K23" s="18">
        <v>385344000</v>
      </c>
      <c r="L23" s="18">
        <v>2401122</v>
      </c>
      <c r="M23" s="21">
        <v>-582691</v>
      </c>
      <c r="N23" s="21">
        <v>-104753176</v>
      </c>
      <c r="O23" s="21">
        <v>-130563279</v>
      </c>
      <c r="P23" s="18">
        <v>-252493730</v>
      </c>
      <c r="Q23" s="18">
        <v>0</v>
      </c>
      <c r="R23" s="18">
        <v>0</v>
      </c>
      <c r="S23" s="18">
        <v>0</v>
      </c>
      <c r="T23" s="18">
        <v>0</v>
      </c>
      <c r="U23" s="21">
        <v>-17504890</v>
      </c>
      <c r="V23" s="219">
        <v>-1523894</v>
      </c>
      <c r="W23" s="220">
        <v>40502005</v>
      </c>
      <c r="X23" s="219">
        <v>-252493730</v>
      </c>
      <c r="Y23" s="219">
        <v>-180203941</v>
      </c>
      <c r="Z23" s="220">
        <v>385344000</v>
      </c>
      <c r="AA23" s="220">
        <v>239710000</v>
      </c>
      <c r="AB23" s="219">
        <v>-17504890</v>
      </c>
      <c r="AC23" s="219">
        <v>-8828510</v>
      </c>
      <c r="AD23" s="274">
        <v>40502005</v>
      </c>
      <c r="AE23" s="275">
        <v>-13776007</v>
      </c>
      <c r="AF23" s="275">
        <v>-180203941</v>
      </c>
      <c r="AG23" s="275">
        <v>-98374913</v>
      </c>
      <c r="AH23" s="274">
        <v>239710000</v>
      </c>
      <c r="AI23" s="275">
        <v>-66606000</v>
      </c>
      <c r="AJ23" s="275">
        <v>-8828510</v>
      </c>
      <c r="AK23" s="274">
        <v>11249880</v>
      </c>
      <c r="AL23" s="345">
        <f t="shared" ref="AL23:AS23" si="13">+AL17-AL21</f>
        <v>-26706998</v>
      </c>
      <c r="AM23" s="345">
        <f t="shared" si="13"/>
        <v>-134625176</v>
      </c>
      <c r="AN23" s="345">
        <f t="shared" si="13"/>
        <v>-67966404</v>
      </c>
      <c r="AO23" s="345">
        <f t="shared" si="13"/>
        <v>-67085714</v>
      </c>
      <c r="AP23" s="346">
        <f t="shared" si="13"/>
        <v>277620000</v>
      </c>
      <c r="AQ23" s="345">
        <f t="shared" si="13"/>
        <v>-349646000</v>
      </c>
      <c r="AR23" s="346">
        <f t="shared" si="13"/>
        <v>9941612</v>
      </c>
      <c r="AS23" s="346">
        <f t="shared" si="13"/>
        <v>2914959</v>
      </c>
      <c r="AT23" s="275">
        <v>-134625131</v>
      </c>
      <c r="AU23" s="275">
        <v>-7443879</v>
      </c>
      <c r="AV23" s="275">
        <v>-67523051</v>
      </c>
      <c r="AW23" s="275">
        <v>-50742342</v>
      </c>
      <c r="AX23" s="275">
        <v>-349646000</v>
      </c>
      <c r="AY23" s="274">
        <v>159836000</v>
      </c>
      <c r="AZ23" s="274">
        <v>2914959</v>
      </c>
      <c r="BA23" s="275">
        <v>-19650956</v>
      </c>
      <c r="BB23" s="275">
        <v>-7443879</v>
      </c>
      <c r="BC23" s="275">
        <v>6733124</v>
      </c>
      <c r="BD23" s="275">
        <v>-50289456</v>
      </c>
      <c r="BE23" s="275">
        <v>8315604</v>
      </c>
      <c r="BF23" s="275">
        <v>159835966</v>
      </c>
      <c r="BG23" s="274">
        <v>49053417</v>
      </c>
      <c r="BH23" s="274">
        <v>-50742342</v>
      </c>
      <c r="BI23" s="275">
        <v>8148547</v>
      </c>
      <c r="BJ23" s="466">
        <f t="shared" ref="BJ23:BQ23" si="14">+BJ17-BJ21</f>
        <v>6733124</v>
      </c>
      <c r="BK23" s="466">
        <f t="shared" si="14"/>
        <v>2527575</v>
      </c>
      <c r="BL23" s="466">
        <f t="shared" si="14"/>
        <v>-37523419</v>
      </c>
      <c r="BM23" s="466">
        <f t="shared" si="14"/>
        <v>-65343524</v>
      </c>
      <c r="BN23" s="477">
        <f t="shared" si="14"/>
        <v>49053417</v>
      </c>
      <c r="BO23" s="477">
        <f t="shared" si="14"/>
        <v>268776958</v>
      </c>
      <c r="BP23" s="477">
        <f t="shared" si="14"/>
        <v>8315604</v>
      </c>
      <c r="BQ23" s="477">
        <f t="shared" si="14"/>
        <v>-20598586</v>
      </c>
      <c r="BR23" s="520">
        <v>10774551</v>
      </c>
      <c r="BS23" s="413">
        <v>-47184013</v>
      </c>
      <c r="BT23" s="413">
        <v>-6184744</v>
      </c>
      <c r="BU23" s="413">
        <v>-352773828</v>
      </c>
      <c r="BV23" s="413">
        <v>-1694806666</v>
      </c>
      <c r="BW23" s="413">
        <v>-1818938276</v>
      </c>
      <c r="BX23" s="413">
        <v>-3252479</v>
      </c>
      <c r="BY23" s="529">
        <v>3592672</v>
      </c>
      <c r="BZ23" s="413">
        <v>-163921892</v>
      </c>
      <c r="CA23" s="413">
        <v>-398843699</v>
      </c>
      <c r="CB23" s="529">
        <v>24370066</v>
      </c>
      <c r="CC23" s="413">
        <v>-125094710</v>
      </c>
      <c r="CD23" s="486">
        <v>-47184013</v>
      </c>
      <c r="CE23" s="413">
        <v>25745089</v>
      </c>
      <c r="CF23" s="486">
        <v>-352773828</v>
      </c>
      <c r="CG23" s="486">
        <v>-88814940</v>
      </c>
      <c r="CH23" s="486">
        <v>-1818938276</v>
      </c>
      <c r="CI23" s="486">
        <v>-2097229299</v>
      </c>
      <c r="CJ23" s="529">
        <v>3592672</v>
      </c>
      <c r="CK23" s="486">
        <v>-61710380</v>
      </c>
      <c r="CL23" s="486">
        <v>-398843699</v>
      </c>
      <c r="CM23" s="413">
        <v>6402712</v>
      </c>
      <c r="CN23" s="433">
        <v>-125094710</v>
      </c>
      <c r="CO23" s="413">
        <v>6132834</v>
      </c>
      <c r="CP23" s="500">
        <v>-801213587000</v>
      </c>
      <c r="CQ23" s="494">
        <v>224732588000</v>
      </c>
      <c r="CR23" s="494">
        <v>-422853273000</v>
      </c>
      <c r="CS23" s="494">
        <v>-58698042000</v>
      </c>
      <c r="CT23" s="494">
        <v>-30477408000</v>
      </c>
      <c r="CU23" s="494">
        <v>59505197000</v>
      </c>
      <c r="CV23" s="494">
        <v>3565427000</v>
      </c>
      <c r="CW23" s="494">
        <v>39138384000</v>
      </c>
      <c r="CX23" s="494">
        <v>11856658000</v>
      </c>
      <c r="CY23" s="494">
        <v>-24493090000</v>
      </c>
    </row>
  </sheetData>
  <mergeCells count="46">
    <mergeCell ref="BL1:BM1"/>
    <mergeCell ref="BN1:BO1"/>
    <mergeCell ref="BP1:BQ1"/>
    <mergeCell ref="AZ1:BA1"/>
    <mergeCell ref="BB1:BC1"/>
    <mergeCell ref="BF1:BG1"/>
    <mergeCell ref="BH1:BI1"/>
    <mergeCell ref="BD1:BE1"/>
    <mergeCell ref="BJ1:BK1"/>
    <mergeCell ref="AP1:AQ1"/>
    <mergeCell ref="AR1:AS1"/>
    <mergeCell ref="AT1:AU1"/>
    <mergeCell ref="AX1:AY1"/>
    <mergeCell ref="AV1:AW1"/>
    <mergeCell ref="CL1:CM1"/>
    <mergeCell ref="A1:A2"/>
    <mergeCell ref="V1:W1"/>
    <mergeCell ref="Z1:AA1"/>
    <mergeCell ref="AB1:AC1"/>
    <mergeCell ref="X1:Y1"/>
    <mergeCell ref="L1:P1"/>
    <mergeCell ref="B1:F1"/>
    <mergeCell ref="G1:K1"/>
    <mergeCell ref="Q1:U1"/>
    <mergeCell ref="AD1:AE1"/>
    <mergeCell ref="AH1:AI1"/>
    <mergeCell ref="AJ1:AK1"/>
    <mergeCell ref="AF1:AG1"/>
    <mergeCell ref="AL1:AM1"/>
    <mergeCell ref="AN1:AO1"/>
    <mergeCell ref="CX1:CY1"/>
    <mergeCell ref="CB1:CC1"/>
    <mergeCell ref="BX1:BY1"/>
    <mergeCell ref="BR1:BS1"/>
    <mergeCell ref="BV1:BW1"/>
    <mergeCell ref="BZ1:CA1"/>
    <mergeCell ref="BT1:BU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</mergeCells>
  <conditionalFormatting sqref="BJ10:BO10 BQ10">
    <cfRule type="uniqueValues" priority="143" stopIfTrue="1"/>
    <cfRule type="cellIs" dxfId="183" priority="144" stopIfTrue="1" operator="lessThan">
      <formula>0</formula>
    </cfRule>
    <cfRule type="cellIs" dxfId="182" priority="145" stopIfTrue="1" operator="lessThan">
      <formula>-74404846</formula>
    </cfRule>
  </conditionalFormatting>
  <conditionalFormatting sqref="BJ22:BQ23">
    <cfRule type="cellIs" dxfId="181" priority="138" stopIfTrue="1" operator="lessThan">
      <formula>0</formula>
    </cfRule>
    <cfRule type="uniqueValues" priority="139" stopIfTrue="1"/>
    <cfRule type="cellIs" dxfId="180" priority="140" stopIfTrue="1" operator="lessThan">
      <formula>0</formula>
    </cfRule>
    <cfRule type="cellIs" dxfId="179" priority="141" stopIfTrue="1" operator="lessThan">
      <formula>-74404846</formula>
    </cfRule>
  </conditionalFormatting>
  <conditionalFormatting sqref="BJ10:CC10">
    <cfRule type="cellIs" dxfId="178" priority="102" stopIfTrue="1" operator="lessThan">
      <formula>0</formula>
    </cfRule>
  </conditionalFormatting>
  <conditionalFormatting sqref="BP10">
    <cfRule type="uniqueValues" priority="135" stopIfTrue="1"/>
    <cfRule type="cellIs" dxfId="177" priority="136" stopIfTrue="1" operator="lessThan">
      <formula>0</formula>
    </cfRule>
    <cfRule type="cellIs" dxfId="176" priority="137" stopIfTrue="1" operator="lessThan">
      <formula>-74404846</formula>
    </cfRule>
  </conditionalFormatting>
  <conditionalFormatting sqref="BR10">
    <cfRule type="uniqueValues" priority="131" stopIfTrue="1"/>
    <cfRule type="cellIs" dxfId="175" priority="132" stopIfTrue="1" operator="lessThan">
      <formula>0</formula>
    </cfRule>
    <cfRule type="cellIs" dxfId="174" priority="133" stopIfTrue="1" operator="lessThan">
      <formula>-74404846</formula>
    </cfRule>
  </conditionalFormatting>
  <conditionalFormatting sqref="BR22:BW22">
    <cfRule type="cellIs" dxfId="173" priority="57" stopIfTrue="1" operator="lessThan">
      <formula>0</formula>
    </cfRule>
  </conditionalFormatting>
  <conditionalFormatting sqref="BR11:CA11">
    <cfRule type="cellIs" dxfId="172" priority="98" stopIfTrue="1" operator="lessThan">
      <formula>0</formula>
    </cfRule>
    <cfRule type="uniqueValues" priority="99" stopIfTrue="1"/>
    <cfRule type="cellIs" dxfId="171" priority="100" stopIfTrue="1" operator="lessThan">
      <formula>0</formula>
    </cfRule>
    <cfRule type="cellIs" dxfId="170" priority="101" stopIfTrue="1" operator="lessThan">
      <formula>-74404846</formula>
    </cfRule>
  </conditionalFormatting>
  <conditionalFormatting sqref="BS13">
    <cfRule type="cellIs" dxfId="169" priority="90" stopIfTrue="1" operator="lessThan">
      <formula>0</formula>
    </cfRule>
    <cfRule type="uniqueValues" priority="91" stopIfTrue="1"/>
    <cfRule type="cellIs" dxfId="168" priority="92" stopIfTrue="1" operator="lessThan">
      <formula>0</formula>
    </cfRule>
    <cfRule type="cellIs" dxfId="167" priority="93" stopIfTrue="1" operator="lessThan">
      <formula>-74404846</formula>
    </cfRule>
  </conditionalFormatting>
  <conditionalFormatting sqref="BS22">
    <cfRule type="uniqueValues" priority="70" stopIfTrue="1"/>
    <cfRule type="cellIs" dxfId="166" priority="71" stopIfTrue="1" operator="lessThan">
      <formula>0</formula>
    </cfRule>
    <cfRule type="cellIs" dxfId="165" priority="72" stopIfTrue="1" operator="lessThan">
      <formula>-74404846</formula>
    </cfRule>
  </conditionalFormatting>
  <conditionalFormatting sqref="BS23">
    <cfRule type="uniqueValues" priority="30" stopIfTrue="1"/>
    <cfRule type="cellIs" dxfId="164" priority="31" stopIfTrue="1" operator="lessThan">
      <formula>0</formula>
    </cfRule>
    <cfRule type="cellIs" dxfId="163" priority="32" stopIfTrue="1" operator="lessThan">
      <formula>-74404846</formula>
    </cfRule>
  </conditionalFormatting>
  <conditionalFormatting sqref="BS10:BU10">
    <cfRule type="uniqueValues" priority="103" stopIfTrue="1"/>
    <cfRule type="cellIs" dxfId="162" priority="104" stopIfTrue="1" operator="lessThan">
      <formula>0</formula>
    </cfRule>
    <cfRule type="cellIs" dxfId="161" priority="105" stopIfTrue="1" operator="lessThan">
      <formula>-74404846</formula>
    </cfRule>
  </conditionalFormatting>
  <conditionalFormatting sqref="BS23:CC23">
    <cfRule type="cellIs" dxfId="160" priority="1" stopIfTrue="1" operator="lessThan">
      <formula>0</formula>
    </cfRule>
  </conditionalFormatting>
  <conditionalFormatting sqref="BT22">
    <cfRule type="uniqueValues" priority="75" stopIfTrue="1"/>
    <cfRule type="cellIs" dxfId="159" priority="76" stopIfTrue="1" operator="lessThan">
      <formula>0</formula>
    </cfRule>
    <cfRule type="cellIs" dxfId="158" priority="77" stopIfTrue="1" operator="lessThan">
      <formula>-74404846</formula>
    </cfRule>
  </conditionalFormatting>
  <conditionalFormatting sqref="BT23">
    <cfRule type="uniqueValues" priority="34" stopIfTrue="1"/>
    <cfRule type="cellIs" dxfId="157" priority="35" stopIfTrue="1" operator="lessThan">
      <formula>0</formula>
    </cfRule>
    <cfRule type="cellIs" dxfId="156" priority="36" stopIfTrue="1" operator="lessThan">
      <formula>-74404846</formula>
    </cfRule>
  </conditionalFormatting>
  <conditionalFormatting sqref="BU22">
    <cfRule type="uniqueValues" priority="66" stopIfTrue="1"/>
    <cfRule type="cellIs" dxfId="155" priority="67" stopIfTrue="1" operator="lessThan">
      <formula>0</formula>
    </cfRule>
    <cfRule type="cellIs" dxfId="154" priority="68" stopIfTrue="1" operator="lessThan">
      <formula>-74404846</formula>
    </cfRule>
  </conditionalFormatting>
  <conditionalFormatting sqref="BU23">
    <cfRule type="uniqueValues" priority="26" stopIfTrue="1"/>
    <cfRule type="cellIs" dxfId="153" priority="27" stopIfTrue="1" operator="lessThan">
      <formula>0</formula>
    </cfRule>
    <cfRule type="cellIs" dxfId="152" priority="28" stopIfTrue="1" operator="lessThan">
      <formula>-74404846</formula>
    </cfRule>
  </conditionalFormatting>
  <conditionalFormatting sqref="BV22">
    <cfRule type="uniqueValues" priority="62" stopIfTrue="1"/>
    <cfRule type="cellIs" dxfId="151" priority="63" stopIfTrue="1" operator="lessThan">
      <formula>0</formula>
    </cfRule>
    <cfRule type="cellIs" dxfId="150" priority="64" stopIfTrue="1" operator="lessThan">
      <formula>-74404846</formula>
    </cfRule>
  </conditionalFormatting>
  <conditionalFormatting sqref="BV23">
    <cfRule type="uniqueValues" priority="22" stopIfTrue="1"/>
    <cfRule type="cellIs" dxfId="149" priority="23" stopIfTrue="1" operator="lessThan">
      <formula>0</formula>
    </cfRule>
    <cfRule type="cellIs" dxfId="148" priority="24" stopIfTrue="1" operator="lessThan">
      <formula>-74404846</formula>
    </cfRule>
  </conditionalFormatting>
  <conditionalFormatting sqref="BV10:BW10">
    <cfRule type="uniqueValues" priority="107" stopIfTrue="1"/>
    <cfRule type="cellIs" dxfId="147" priority="108" stopIfTrue="1" operator="lessThan">
      <formula>0</formula>
    </cfRule>
    <cfRule type="cellIs" dxfId="146" priority="109" stopIfTrue="1" operator="lessThan">
      <formula>-74404846</formula>
    </cfRule>
  </conditionalFormatting>
  <conditionalFormatting sqref="BW13">
    <cfRule type="uniqueValues" priority="87" stopIfTrue="1"/>
    <cfRule type="cellIs" dxfId="145" priority="88" stopIfTrue="1" operator="lessThan">
      <formula>0</formula>
    </cfRule>
    <cfRule type="cellIs" dxfId="144" priority="89" stopIfTrue="1" operator="lessThan">
      <formula>-74404846</formula>
    </cfRule>
  </conditionalFormatting>
  <conditionalFormatting sqref="BW22">
    <cfRule type="uniqueValues" priority="58" stopIfTrue="1"/>
    <cfRule type="cellIs" dxfId="143" priority="59" stopIfTrue="1" operator="lessThan">
      <formula>0</formula>
    </cfRule>
    <cfRule type="cellIs" dxfId="142" priority="60" stopIfTrue="1" operator="lessThan">
      <formula>-74404846</formula>
    </cfRule>
  </conditionalFormatting>
  <conditionalFormatting sqref="BW23">
    <cfRule type="uniqueValues" priority="18" stopIfTrue="1"/>
    <cfRule type="cellIs" dxfId="141" priority="19" stopIfTrue="1" operator="lessThan">
      <formula>0</formula>
    </cfRule>
    <cfRule type="cellIs" dxfId="140" priority="20" stopIfTrue="1" operator="lessThan">
      <formula>-74404846</formula>
    </cfRule>
  </conditionalFormatting>
  <conditionalFormatting sqref="BW13:BY13">
    <cfRule type="cellIs" dxfId="139" priority="86" stopIfTrue="1" operator="lessThan">
      <formula>0</formula>
    </cfRule>
  </conditionalFormatting>
  <conditionalFormatting sqref="BX10">
    <cfRule type="uniqueValues" priority="111" stopIfTrue="1"/>
    <cfRule type="cellIs" dxfId="138" priority="112" stopIfTrue="1" operator="lessThan">
      <formula>0</formula>
    </cfRule>
    <cfRule type="cellIs" dxfId="137" priority="113" stopIfTrue="1" operator="lessThan">
      <formula>-74404846</formula>
    </cfRule>
  </conditionalFormatting>
  <conditionalFormatting sqref="BX23">
    <cfRule type="uniqueValues" priority="14" stopIfTrue="1"/>
    <cfRule type="cellIs" dxfId="136" priority="15" stopIfTrue="1" operator="lessThan">
      <formula>0</formula>
    </cfRule>
    <cfRule type="cellIs" dxfId="135" priority="16" stopIfTrue="1" operator="lessThan">
      <formula>-74404846</formula>
    </cfRule>
  </conditionalFormatting>
  <conditionalFormatting sqref="BX13:BY13">
    <cfRule type="uniqueValues" priority="95" stopIfTrue="1"/>
    <cfRule type="cellIs" dxfId="134" priority="96" stopIfTrue="1" operator="lessThan">
      <formula>0</formula>
    </cfRule>
    <cfRule type="cellIs" dxfId="133" priority="97" stopIfTrue="1" operator="lessThan">
      <formula>-74404846</formula>
    </cfRule>
  </conditionalFormatting>
  <conditionalFormatting sqref="BY10">
    <cfRule type="uniqueValues" priority="115" stopIfTrue="1"/>
    <cfRule type="cellIs" dxfId="132" priority="116" stopIfTrue="1" operator="lessThan">
      <formula>0</formula>
    </cfRule>
    <cfRule type="cellIs" dxfId="131" priority="117" stopIfTrue="1" operator="lessThan">
      <formula>-74404846</formula>
    </cfRule>
  </conditionalFormatting>
  <conditionalFormatting sqref="BY23">
    <cfRule type="uniqueValues" priority="46" stopIfTrue="1"/>
    <cfRule type="cellIs" dxfId="130" priority="47" stopIfTrue="1" operator="lessThan">
      <formula>0</formula>
    </cfRule>
    <cfRule type="cellIs" dxfId="129" priority="48" stopIfTrue="1" operator="lessThan">
      <formula>-74404846</formula>
    </cfRule>
  </conditionalFormatting>
  <conditionalFormatting sqref="BZ22">
    <cfRule type="uniqueValues" priority="54" stopIfTrue="1"/>
    <cfRule type="cellIs" dxfId="128" priority="55" stopIfTrue="1" operator="lessThan">
      <formula>0</formula>
    </cfRule>
    <cfRule type="cellIs" dxfId="127" priority="56" stopIfTrue="1" operator="lessThan">
      <formula>-74404846</formula>
    </cfRule>
  </conditionalFormatting>
  <conditionalFormatting sqref="BZ23">
    <cfRule type="uniqueValues" priority="10" stopIfTrue="1"/>
    <cfRule type="cellIs" dxfId="126" priority="11" stopIfTrue="1" operator="lessThan">
      <formula>0</formula>
    </cfRule>
    <cfRule type="cellIs" dxfId="125" priority="12" stopIfTrue="1" operator="lessThan">
      <formula>-74404846</formula>
    </cfRule>
  </conditionalFormatting>
  <conditionalFormatting sqref="BZ10:CA10">
    <cfRule type="uniqueValues" priority="119" stopIfTrue="1"/>
    <cfRule type="cellIs" dxfId="124" priority="120" stopIfTrue="1" operator="lessThan">
      <formula>0</formula>
    </cfRule>
    <cfRule type="cellIs" dxfId="123" priority="121" stopIfTrue="1" operator="lessThan">
      <formula>-74404846</formula>
    </cfRule>
  </conditionalFormatting>
  <conditionalFormatting sqref="BZ22:CC22">
    <cfRule type="cellIs" dxfId="122" priority="49" stopIfTrue="1" operator="lessThan">
      <formula>0</formula>
    </cfRule>
  </conditionalFormatting>
  <conditionalFormatting sqref="CA13">
    <cfRule type="cellIs" dxfId="121" priority="82" stopIfTrue="1" operator="lessThan">
      <formula>0</formula>
    </cfRule>
    <cfRule type="uniqueValues" priority="83" stopIfTrue="1"/>
    <cfRule type="cellIs" dxfId="120" priority="84" stopIfTrue="1" operator="lessThan">
      <formula>0</formula>
    </cfRule>
    <cfRule type="cellIs" dxfId="119" priority="85" stopIfTrue="1" operator="lessThan">
      <formula>-74404846</formula>
    </cfRule>
  </conditionalFormatting>
  <conditionalFormatting sqref="CA22">
    <cfRule type="uniqueValues" priority="50" stopIfTrue="1"/>
    <cfRule type="cellIs" dxfId="118" priority="51" stopIfTrue="1" operator="lessThan">
      <formula>0</formula>
    </cfRule>
    <cfRule type="cellIs" dxfId="117" priority="52" stopIfTrue="1" operator="lessThan">
      <formula>-74404846</formula>
    </cfRule>
  </conditionalFormatting>
  <conditionalFormatting sqref="CA23">
    <cfRule type="uniqueValues" priority="6" stopIfTrue="1"/>
    <cfRule type="cellIs" dxfId="116" priority="7" stopIfTrue="1" operator="lessThan">
      <formula>0</formula>
    </cfRule>
    <cfRule type="cellIs" dxfId="115" priority="8" stopIfTrue="1" operator="lessThan">
      <formula>-74404846</formula>
    </cfRule>
  </conditionalFormatting>
  <conditionalFormatting sqref="CB10">
    <cfRule type="uniqueValues" priority="127" stopIfTrue="1"/>
    <cfRule type="cellIs" dxfId="114" priority="128" stopIfTrue="1" operator="lessThan">
      <formula>0</formula>
    </cfRule>
    <cfRule type="cellIs" dxfId="113" priority="129" stopIfTrue="1" operator="lessThan">
      <formula>-74404846</formula>
    </cfRule>
  </conditionalFormatting>
  <conditionalFormatting sqref="CB23">
    <cfRule type="uniqueValues" priority="38" stopIfTrue="1"/>
    <cfRule type="cellIs" dxfId="112" priority="39" stopIfTrue="1" operator="lessThan">
      <formula>0</formula>
    </cfRule>
    <cfRule type="cellIs" dxfId="111" priority="40" stopIfTrue="1" operator="lessThan">
      <formula>-74404846</formula>
    </cfRule>
    <cfRule type="cellIs" dxfId="110" priority="41" stopIfTrue="1" operator="lessThan">
      <formula>0</formula>
    </cfRule>
    <cfRule type="uniqueValues" priority="42" stopIfTrue="1"/>
    <cfRule type="cellIs" dxfId="109" priority="43" stopIfTrue="1" operator="lessThan">
      <formula>0</formula>
    </cfRule>
    <cfRule type="cellIs" dxfId="108" priority="44" stopIfTrue="1" operator="lessThan">
      <formula>-74404846</formula>
    </cfRule>
  </conditionalFormatting>
  <conditionalFormatting sqref="CB22:CC22">
    <cfRule type="uniqueValues" priority="79" stopIfTrue="1"/>
    <cfRule type="cellIs" dxfId="107" priority="80" stopIfTrue="1" operator="lessThan">
      <formula>0</formula>
    </cfRule>
    <cfRule type="cellIs" dxfId="106" priority="81" stopIfTrue="1" operator="lessThan">
      <formula>-74404846</formula>
    </cfRule>
  </conditionalFormatting>
  <conditionalFormatting sqref="CC10">
    <cfRule type="uniqueValues" priority="123" stopIfTrue="1"/>
    <cfRule type="cellIs" dxfId="105" priority="124" stopIfTrue="1" operator="lessThan">
      <formula>0</formula>
    </cfRule>
    <cfRule type="cellIs" dxfId="104" priority="125" stopIfTrue="1" operator="lessThan">
      <formula>-74404846</formula>
    </cfRule>
  </conditionalFormatting>
  <conditionalFormatting sqref="CC23">
    <cfRule type="uniqueValues" priority="2" stopIfTrue="1"/>
    <cfRule type="cellIs" dxfId="103" priority="3" stopIfTrue="1" operator="lessThan">
      <formula>0</formula>
    </cfRule>
    <cfRule type="cellIs" dxfId="102" priority="4" stopIfTrue="1" operator="lessThan">
      <formula>-74404846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A6A5-2B6F-475F-B9BA-DCF43E0225CF}">
  <dimension ref="A1:Y31"/>
  <sheetViews>
    <sheetView workbookViewId="0">
      <pane xSplit="1" topLeftCell="O1" activePane="topRight" state="frozen"/>
      <selection pane="topRight" activeCell="D2" sqref="D2"/>
    </sheetView>
  </sheetViews>
  <sheetFormatPr baseColWidth="10" defaultRowHeight="15" x14ac:dyDescent="0.25"/>
  <cols>
    <col min="1" max="1" width="32.85546875" bestFit="1" customWidth="1"/>
    <col min="15" max="16" width="12" bestFit="1" customWidth="1"/>
    <col min="17" max="18" width="18.85546875" bestFit="1" customWidth="1"/>
    <col min="19" max="19" width="12" bestFit="1" customWidth="1"/>
    <col min="20" max="22" width="12" style="602" bestFit="1" customWidth="1"/>
    <col min="23" max="24" width="16.28515625" bestFit="1" customWidth="1"/>
    <col min="25" max="25" width="12.28515625" bestFit="1" customWidth="1"/>
  </cols>
  <sheetData>
    <row r="1" spans="1:25" ht="15.75" customHeight="1" x14ac:dyDescent="0.25">
      <c r="A1" s="622" t="s">
        <v>0</v>
      </c>
      <c r="B1" s="623" t="s">
        <v>37</v>
      </c>
      <c r="C1" s="623"/>
      <c r="D1" s="623"/>
      <c r="E1" s="623"/>
      <c r="F1" s="623"/>
      <c r="G1" s="624" t="s">
        <v>37</v>
      </c>
      <c r="H1" s="624"/>
      <c r="I1" s="625" t="s">
        <v>37</v>
      </c>
      <c r="J1" s="625"/>
      <c r="K1" s="626" t="s">
        <v>37</v>
      </c>
      <c r="L1" s="626"/>
      <c r="M1" s="625" t="s">
        <v>37</v>
      </c>
      <c r="N1" s="625"/>
      <c r="O1" s="625" t="s">
        <v>37</v>
      </c>
      <c r="P1" s="625"/>
      <c r="Q1" s="627" t="s">
        <v>37</v>
      </c>
      <c r="R1" s="627"/>
      <c r="S1" s="603" t="s">
        <v>37</v>
      </c>
      <c r="T1" s="603"/>
      <c r="U1" s="603" t="s">
        <v>37</v>
      </c>
      <c r="V1" s="603"/>
      <c r="W1" s="603" t="s">
        <v>37</v>
      </c>
      <c r="X1" s="603"/>
    </row>
    <row r="2" spans="1:25" x14ac:dyDescent="0.25">
      <c r="A2" s="628"/>
      <c r="B2" s="629">
        <v>2008</v>
      </c>
      <c r="C2" s="629">
        <v>2009</v>
      </c>
      <c r="D2" s="629">
        <v>2010</v>
      </c>
      <c r="E2" s="629">
        <v>2011</v>
      </c>
      <c r="F2" s="629">
        <v>2012</v>
      </c>
      <c r="G2" s="630">
        <v>2012</v>
      </c>
      <c r="H2" s="630">
        <v>2013</v>
      </c>
      <c r="I2" s="631">
        <v>2013</v>
      </c>
      <c r="J2" s="631">
        <v>2014</v>
      </c>
      <c r="K2" s="632">
        <v>2014</v>
      </c>
      <c r="L2" s="632">
        <v>2015</v>
      </c>
      <c r="M2" s="631">
        <v>2015</v>
      </c>
      <c r="N2" s="631">
        <v>2016</v>
      </c>
      <c r="O2" s="631">
        <v>2016</v>
      </c>
      <c r="P2" s="631">
        <v>2017</v>
      </c>
      <c r="Q2" s="631">
        <v>2017</v>
      </c>
      <c r="R2" s="631">
        <v>2018</v>
      </c>
      <c r="S2" s="604">
        <v>2019</v>
      </c>
      <c r="T2" s="604">
        <v>2020</v>
      </c>
      <c r="U2" s="604">
        <v>2020</v>
      </c>
      <c r="V2" s="604">
        <v>2021</v>
      </c>
      <c r="W2" s="604">
        <v>2022</v>
      </c>
      <c r="X2" s="604">
        <v>2023</v>
      </c>
    </row>
    <row r="3" spans="1:25" x14ac:dyDescent="0.25">
      <c r="A3" s="633" t="s">
        <v>7</v>
      </c>
      <c r="B3" s="648">
        <v>45436600</v>
      </c>
      <c r="C3" s="648">
        <v>34579745.994999997</v>
      </c>
      <c r="D3" s="648">
        <v>45563978</v>
      </c>
      <c r="E3" s="648">
        <v>24495399</v>
      </c>
      <c r="F3" s="648">
        <v>17838301</v>
      </c>
      <c r="G3" s="648">
        <v>17838301</v>
      </c>
      <c r="H3" s="648">
        <v>23685241</v>
      </c>
      <c r="I3" s="648">
        <v>23685241</v>
      </c>
      <c r="J3" s="648">
        <v>23779583</v>
      </c>
      <c r="K3" s="649">
        <v>23779583</v>
      </c>
      <c r="L3" s="649">
        <v>27659109</v>
      </c>
      <c r="M3" s="648">
        <v>37323047</v>
      </c>
      <c r="N3" s="648">
        <v>29008081</v>
      </c>
      <c r="O3" s="635">
        <v>29008000</v>
      </c>
      <c r="P3" s="635">
        <v>35332000</v>
      </c>
      <c r="Q3" s="636">
        <v>35196000</v>
      </c>
      <c r="R3" s="636">
        <v>57641000</v>
      </c>
      <c r="S3" s="606">
        <v>44498000</v>
      </c>
      <c r="T3" s="606">
        <v>31873000</v>
      </c>
      <c r="U3" s="650">
        <v>64328000</v>
      </c>
      <c r="V3" s="650">
        <v>111912000</v>
      </c>
      <c r="W3" s="651">
        <v>111912000000</v>
      </c>
      <c r="X3" s="652">
        <v>119126000000</v>
      </c>
    </row>
    <row r="4" spans="1:25" x14ac:dyDescent="0.25">
      <c r="A4" s="633" t="s">
        <v>8</v>
      </c>
      <c r="B4" s="648">
        <v>137144600</v>
      </c>
      <c r="C4" s="648">
        <v>110825978.02599999</v>
      </c>
      <c r="D4" s="648">
        <v>71098197</v>
      </c>
      <c r="E4" s="648">
        <v>92064188</v>
      </c>
      <c r="F4" s="648">
        <v>84860012</v>
      </c>
      <c r="G4" s="648">
        <v>84860012</v>
      </c>
      <c r="H4" s="648">
        <v>72938201</v>
      </c>
      <c r="I4" s="648">
        <v>72938201</v>
      </c>
      <c r="J4" s="648">
        <v>83257164</v>
      </c>
      <c r="K4" s="649">
        <v>83257164</v>
      </c>
      <c r="L4" s="649">
        <v>77688294</v>
      </c>
      <c r="M4" s="648">
        <v>134093245</v>
      </c>
      <c r="N4" s="648">
        <v>124728605</v>
      </c>
      <c r="O4" s="635">
        <v>124729000</v>
      </c>
      <c r="P4" s="635">
        <v>111546000</v>
      </c>
      <c r="Q4" s="636">
        <v>111546000</v>
      </c>
      <c r="R4" s="636">
        <v>112402000</v>
      </c>
      <c r="S4" s="606">
        <v>162974000</v>
      </c>
      <c r="T4" s="606">
        <v>151287000</v>
      </c>
      <c r="U4" s="650">
        <v>160222000</v>
      </c>
      <c r="V4" s="650">
        <v>166669000</v>
      </c>
      <c r="W4" s="652">
        <v>166669000000</v>
      </c>
      <c r="X4" s="652">
        <v>155636000000</v>
      </c>
    </row>
    <row r="5" spans="1:25" x14ac:dyDescent="0.25">
      <c r="A5" s="633" t="s">
        <v>9</v>
      </c>
      <c r="B5" s="648">
        <v>38354900</v>
      </c>
      <c r="C5" s="648">
        <v>20722511.528000001</v>
      </c>
      <c r="D5" s="648">
        <v>18901486</v>
      </c>
      <c r="E5" s="648">
        <v>24498233</v>
      </c>
      <c r="F5" s="648">
        <v>26362681</v>
      </c>
      <c r="G5" s="648">
        <v>26362681</v>
      </c>
      <c r="H5" s="648">
        <v>29803813</v>
      </c>
      <c r="I5" s="648">
        <v>29803813</v>
      </c>
      <c r="J5" s="648">
        <v>36372711</v>
      </c>
      <c r="K5" s="649">
        <v>36372711</v>
      </c>
      <c r="L5" s="649">
        <f>111472446-L4</f>
        <v>33784152</v>
      </c>
      <c r="M5" s="648">
        <v>38868460</v>
      </c>
      <c r="N5" s="648">
        <v>29474274</v>
      </c>
      <c r="O5" s="635">
        <v>29475000</v>
      </c>
      <c r="P5" s="635">
        <v>38937000</v>
      </c>
      <c r="Q5" s="636">
        <f>136000+38924000+13000</f>
        <v>39073000</v>
      </c>
      <c r="R5" s="636">
        <f>163644000-R4</f>
        <v>51242000</v>
      </c>
      <c r="S5" s="653"/>
      <c r="T5" s="653"/>
      <c r="U5" s="653"/>
      <c r="V5" s="653"/>
      <c r="W5" s="653"/>
      <c r="X5" s="653"/>
    </row>
    <row r="6" spans="1:25" x14ac:dyDescent="0.25">
      <c r="A6" s="639" t="s">
        <v>10</v>
      </c>
      <c r="B6" s="654">
        <v>220936100</v>
      </c>
      <c r="C6" s="654">
        <v>166128235.54899999</v>
      </c>
      <c r="D6" s="654">
        <v>135563661</v>
      </c>
      <c r="E6" s="654">
        <v>141057820</v>
      </c>
      <c r="F6" s="654">
        <v>129060994</v>
      </c>
      <c r="G6" s="654">
        <v>129060994</v>
      </c>
      <c r="H6" s="654">
        <v>126427255</v>
      </c>
      <c r="I6" s="654">
        <v>126427255</v>
      </c>
      <c r="J6" s="654">
        <v>143409458</v>
      </c>
      <c r="K6" s="655">
        <v>143409458</v>
      </c>
      <c r="L6" s="655">
        <f>SUM(L3:L5)</f>
        <v>139131555</v>
      </c>
      <c r="M6" s="654">
        <v>210284752</v>
      </c>
      <c r="N6" s="654">
        <v>183210960</v>
      </c>
      <c r="O6" s="654">
        <v>183212000</v>
      </c>
      <c r="P6" s="654">
        <v>185815000</v>
      </c>
      <c r="Q6" s="608">
        <f>+SUM(Q3:Q5)</f>
        <v>185815000</v>
      </c>
      <c r="R6" s="608">
        <f>+SUM(R3:R5)</f>
        <v>221285000</v>
      </c>
      <c r="S6" s="608">
        <f>+SUM(S3:S5)</f>
        <v>207472000</v>
      </c>
      <c r="T6" s="608">
        <f t="shared" ref="T6:X6" si="0">+SUM(T3:T5)</f>
        <v>183160000</v>
      </c>
      <c r="U6" s="608">
        <f t="shared" si="0"/>
        <v>224550000</v>
      </c>
      <c r="V6" s="608">
        <f>+SUM(V3:V5)</f>
        <v>278581000</v>
      </c>
      <c r="W6" s="608">
        <f t="shared" si="0"/>
        <v>278581000000</v>
      </c>
      <c r="X6" s="608">
        <f t="shared" si="0"/>
        <v>274762000000</v>
      </c>
    </row>
    <row r="7" spans="1:25" x14ac:dyDescent="0.25">
      <c r="A7" s="633" t="s">
        <v>12</v>
      </c>
      <c r="B7" s="648">
        <v>45216900</v>
      </c>
      <c r="C7" s="648">
        <v>51433949.840000004</v>
      </c>
      <c r="D7" s="648">
        <v>34915808</v>
      </c>
      <c r="E7" s="648">
        <v>19804091</v>
      </c>
      <c r="F7" s="648">
        <v>16042872</v>
      </c>
      <c r="G7" s="648">
        <v>16042872</v>
      </c>
      <c r="H7" s="648">
        <v>21422656</v>
      </c>
      <c r="I7" s="648">
        <v>21422656</v>
      </c>
      <c r="J7" s="648">
        <v>38388364</v>
      </c>
      <c r="K7" s="649">
        <v>38388364</v>
      </c>
      <c r="L7" s="649">
        <v>81725889</v>
      </c>
      <c r="M7" s="648">
        <v>141694222</v>
      </c>
      <c r="N7" s="648">
        <v>136014710</v>
      </c>
      <c r="O7" s="635">
        <v>136015000</v>
      </c>
      <c r="P7" s="635">
        <v>121123000</v>
      </c>
      <c r="Q7" s="636">
        <v>124988000</v>
      </c>
      <c r="R7" s="636">
        <v>124522000</v>
      </c>
      <c r="S7" s="606">
        <v>107042000</v>
      </c>
      <c r="T7" s="606">
        <v>80236000</v>
      </c>
      <c r="U7" s="656">
        <v>64180000</v>
      </c>
      <c r="V7" s="656">
        <v>87786000</v>
      </c>
      <c r="W7" s="652">
        <v>87786000000</v>
      </c>
      <c r="X7" s="652">
        <v>96829000000</v>
      </c>
    </row>
    <row r="8" spans="1:25" x14ac:dyDescent="0.25">
      <c r="A8" s="640" t="s">
        <v>13</v>
      </c>
      <c r="B8" s="648">
        <v>159635100</v>
      </c>
      <c r="C8" s="648">
        <v>162985556.70100001</v>
      </c>
      <c r="D8" s="648">
        <v>133966183</v>
      </c>
      <c r="E8" s="648">
        <v>106619649</v>
      </c>
      <c r="F8" s="648">
        <v>100288698</v>
      </c>
      <c r="G8" s="648">
        <v>100288698</v>
      </c>
      <c r="H8" s="648">
        <v>102759873</v>
      </c>
      <c r="I8" s="648">
        <v>102759873</v>
      </c>
      <c r="J8" s="648">
        <v>98129231</v>
      </c>
      <c r="K8" s="649">
        <v>98129231</v>
      </c>
      <c r="L8" s="649">
        <v>96521866</v>
      </c>
      <c r="M8" s="648">
        <v>165613551</v>
      </c>
      <c r="N8" s="648">
        <v>148792429</v>
      </c>
      <c r="O8" s="635">
        <v>148792000</v>
      </c>
      <c r="P8" s="635">
        <v>121333000</v>
      </c>
      <c r="Q8" s="636">
        <v>117468000</v>
      </c>
      <c r="R8" s="636">
        <v>138751000</v>
      </c>
      <c r="S8" s="606">
        <v>147183000</v>
      </c>
      <c r="T8" s="606">
        <v>160908000</v>
      </c>
      <c r="U8" s="656">
        <v>151884000</v>
      </c>
      <c r="V8" s="656">
        <v>182342000</v>
      </c>
      <c r="W8" s="652">
        <v>182342000000</v>
      </c>
      <c r="X8" s="652">
        <v>163568000000</v>
      </c>
    </row>
    <row r="9" spans="1:25" x14ac:dyDescent="0.25">
      <c r="A9" s="633" t="s">
        <v>14</v>
      </c>
      <c r="B9" s="648">
        <v>6623400</v>
      </c>
      <c r="C9" s="648">
        <v>20441122.302999999</v>
      </c>
      <c r="D9" s="648">
        <v>37864050</v>
      </c>
      <c r="E9" s="648"/>
      <c r="F9" s="648"/>
      <c r="G9" s="648"/>
      <c r="H9" s="648"/>
      <c r="I9" s="648"/>
      <c r="J9" s="648"/>
      <c r="K9" s="649"/>
      <c r="L9" s="649"/>
      <c r="M9" s="648"/>
      <c r="N9" s="648"/>
      <c r="O9" s="648"/>
      <c r="P9" s="648"/>
      <c r="Q9" s="636"/>
      <c r="R9" s="636"/>
      <c r="S9" s="653"/>
      <c r="T9" s="653"/>
      <c r="U9" s="653"/>
      <c r="V9" s="653"/>
      <c r="W9" s="653"/>
      <c r="X9" s="653"/>
    </row>
    <row r="10" spans="1:25" x14ac:dyDescent="0.25">
      <c r="A10" s="639" t="s">
        <v>15</v>
      </c>
      <c r="B10" s="654">
        <v>211475400</v>
      </c>
      <c r="C10" s="654">
        <v>234860628.84400001</v>
      </c>
      <c r="D10" s="654">
        <v>206746041</v>
      </c>
      <c r="E10" s="654">
        <v>126423740</v>
      </c>
      <c r="F10" s="654">
        <v>116331570</v>
      </c>
      <c r="G10" s="654">
        <v>116331570</v>
      </c>
      <c r="H10" s="654">
        <v>124182529</v>
      </c>
      <c r="I10" s="654">
        <v>124182529</v>
      </c>
      <c r="J10" s="654">
        <v>136517595</v>
      </c>
      <c r="K10" s="655">
        <v>136517595</v>
      </c>
      <c r="L10" s="655">
        <f>SUM(L7:L9)</f>
        <v>178247755</v>
      </c>
      <c r="M10" s="654">
        <v>307307773</v>
      </c>
      <c r="N10" s="654">
        <v>284807139</v>
      </c>
      <c r="O10" s="654">
        <v>284807000</v>
      </c>
      <c r="P10" s="654">
        <v>242456000</v>
      </c>
      <c r="Q10" s="608">
        <f>+SUM(Q7:Q9)</f>
        <v>242456000</v>
      </c>
      <c r="R10" s="608">
        <f>+SUM(R7:R9)</f>
        <v>263273000</v>
      </c>
      <c r="S10" s="608">
        <f t="shared" ref="S10:T10" si="1">+SUM(S7:S9)</f>
        <v>254225000</v>
      </c>
      <c r="T10" s="608">
        <f t="shared" si="1"/>
        <v>241144000</v>
      </c>
      <c r="U10" s="608">
        <f t="shared" ref="U10" si="2">+SUM(U7:U9)</f>
        <v>216064000</v>
      </c>
      <c r="V10" s="608">
        <f t="shared" ref="V10" si="3">+SUM(V7:V9)</f>
        <v>270128000</v>
      </c>
      <c r="W10" s="608">
        <f t="shared" ref="W10" si="4">+SUM(W7:W9)</f>
        <v>270128000000</v>
      </c>
      <c r="X10" s="608">
        <f t="shared" ref="X10" si="5">+SUM(X7:X9)</f>
        <v>260397000000</v>
      </c>
      <c r="Y10" s="621"/>
    </row>
    <row r="11" spans="1:25" x14ac:dyDescent="0.25">
      <c r="A11" s="633" t="s">
        <v>17</v>
      </c>
      <c r="B11" s="648">
        <v>24176200</v>
      </c>
      <c r="C11" s="648">
        <v>24176180.379000001</v>
      </c>
      <c r="D11" s="648">
        <v>49177990</v>
      </c>
      <c r="E11" s="648">
        <v>99000000</v>
      </c>
      <c r="F11" s="648">
        <v>396000</v>
      </c>
      <c r="G11" s="648">
        <v>396000</v>
      </c>
      <c r="H11" s="648">
        <v>396000</v>
      </c>
      <c r="I11" s="648">
        <v>396000</v>
      </c>
      <c r="J11" s="648">
        <v>396000</v>
      </c>
      <c r="K11" s="649">
        <v>396000</v>
      </c>
      <c r="L11" s="649">
        <v>396000</v>
      </c>
      <c r="M11" s="648">
        <v>396000</v>
      </c>
      <c r="N11" s="648">
        <v>396000</v>
      </c>
      <c r="O11" s="635">
        <v>396000</v>
      </c>
      <c r="P11" s="635">
        <v>47302000</v>
      </c>
      <c r="Q11" s="636">
        <v>47302000</v>
      </c>
      <c r="R11" s="636">
        <v>47302000</v>
      </c>
      <c r="S11" s="606">
        <v>1182000</v>
      </c>
      <c r="T11" s="606">
        <v>41182000</v>
      </c>
      <c r="U11" s="656">
        <v>76182000</v>
      </c>
      <c r="V11" s="656">
        <v>76182000</v>
      </c>
      <c r="W11" s="652">
        <v>76182000000</v>
      </c>
      <c r="X11" s="652">
        <v>76182000000</v>
      </c>
    </row>
    <row r="12" spans="1:25" x14ac:dyDescent="0.25">
      <c r="A12" s="633" t="s">
        <v>189</v>
      </c>
      <c r="B12" s="648"/>
      <c r="C12" s="648"/>
      <c r="D12" s="648"/>
      <c r="E12" s="648"/>
      <c r="F12" s="648"/>
      <c r="G12" s="648"/>
      <c r="H12" s="648"/>
      <c r="I12" s="648"/>
      <c r="J12" s="648"/>
      <c r="K12" s="649"/>
      <c r="L12" s="649"/>
      <c r="M12" s="648"/>
      <c r="N12" s="648"/>
      <c r="O12" s="635"/>
      <c r="P12" s="635"/>
      <c r="Q12" s="636"/>
      <c r="R12" s="636"/>
      <c r="S12" s="606"/>
      <c r="T12" s="606"/>
      <c r="U12" s="656">
        <v>-67696000</v>
      </c>
      <c r="V12" s="656">
        <v>-67729000</v>
      </c>
      <c r="W12" s="651">
        <v>-67729000000</v>
      </c>
      <c r="X12" s="651">
        <v>-61817000000</v>
      </c>
    </row>
    <row r="13" spans="1:25" x14ac:dyDescent="0.25">
      <c r="A13" s="633" t="s">
        <v>20</v>
      </c>
      <c r="B13" s="648">
        <v>14210200</v>
      </c>
      <c r="C13" s="648">
        <v>14210233.097000001</v>
      </c>
      <c r="D13" s="648">
        <v>14269790</v>
      </c>
      <c r="E13" s="648">
        <v>14317103</v>
      </c>
      <c r="F13" s="648">
        <v>14359023</v>
      </c>
      <c r="G13" s="648">
        <v>14359023</v>
      </c>
      <c r="H13" s="648">
        <v>14412326</v>
      </c>
      <c r="I13" s="648">
        <v>14412326</v>
      </c>
      <c r="J13" s="648">
        <v>36423283</v>
      </c>
      <c r="K13" s="649">
        <v>36423283</v>
      </c>
      <c r="L13" s="649">
        <f>21977949+283320+14174211+29523</f>
        <v>36465003</v>
      </c>
      <c r="M13" s="648">
        <v>-11573164</v>
      </c>
      <c r="N13" s="648">
        <v>-15837502</v>
      </c>
      <c r="O13" s="635">
        <v>-15837000</v>
      </c>
      <c r="P13" s="635">
        <v>-20325000</v>
      </c>
      <c r="Q13" s="636">
        <f>-9784000-10541000</f>
        <v>-20325000</v>
      </c>
      <c r="R13" s="636">
        <f>125000-9784000-11349000</f>
        <v>-21008000</v>
      </c>
      <c r="S13" s="653"/>
      <c r="T13" s="653"/>
      <c r="U13" s="653"/>
      <c r="V13" s="653"/>
      <c r="W13" s="653"/>
      <c r="X13" s="653"/>
    </row>
    <row r="14" spans="1:25" x14ac:dyDescent="0.25">
      <c r="A14" s="640" t="s">
        <v>25</v>
      </c>
      <c r="B14" s="648">
        <v>229830200</v>
      </c>
      <c r="C14" s="648">
        <v>191054459.02700001</v>
      </c>
      <c r="D14" s="648">
        <v>166043408</v>
      </c>
      <c r="E14" s="648">
        <v>179909705</v>
      </c>
      <c r="F14" s="648">
        <v>162209495</v>
      </c>
      <c r="G14" s="648">
        <v>162209495</v>
      </c>
      <c r="H14" s="648">
        <v>171571536</v>
      </c>
      <c r="I14" s="648">
        <v>171571536</v>
      </c>
      <c r="J14" s="648">
        <v>182714003</v>
      </c>
      <c r="K14" s="649">
        <v>182714003</v>
      </c>
      <c r="L14" s="649">
        <v>193681701</v>
      </c>
      <c r="M14" s="648">
        <v>200031198</v>
      </c>
      <c r="N14" s="648">
        <v>216383469</v>
      </c>
      <c r="O14" s="635">
        <v>216383000</v>
      </c>
      <c r="P14" s="635">
        <v>218180000</v>
      </c>
      <c r="Q14" s="636">
        <v>218180000</v>
      </c>
      <c r="R14" s="636">
        <v>230080000</v>
      </c>
      <c r="S14" s="606">
        <v>239055000</v>
      </c>
      <c r="T14" s="606">
        <v>91298000</v>
      </c>
      <c r="U14" s="657">
        <v>200294000</v>
      </c>
      <c r="V14" s="650">
        <v>270645000</v>
      </c>
      <c r="W14" s="652">
        <v>270645000000</v>
      </c>
      <c r="X14" s="652">
        <v>360684000000</v>
      </c>
    </row>
    <row r="15" spans="1:25" x14ac:dyDescent="0.25">
      <c r="A15" s="640" t="s">
        <v>26</v>
      </c>
      <c r="B15" s="648">
        <v>2391300</v>
      </c>
      <c r="C15" s="648">
        <v>7924997.7219999991</v>
      </c>
      <c r="D15" s="648">
        <v>12986946</v>
      </c>
      <c r="E15" s="648">
        <v>5453041</v>
      </c>
      <c r="F15" s="648">
        <v>10520736</v>
      </c>
      <c r="G15" s="648">
        <v>10520736</v>
      </c>
      <c r="H15" s="648">
        <v>8240227</v>
      </c>
      <c r="I15" s="648">
        <v>8240227</v>
      </c>
      <c r="J15" s="648">
        <v>19095449</v>
      </c>
      <c r="K15" s="649">
        <v>19095449</v>
      </c>
      <c r="L15" s="649">
        <v>9845208</v>
      </c>
      <c r="M15" s="648">
        <v>26605925</v>
      </c>
      <c r="N15" s="648">
        <v>39426767</v>
      </c>
      <c r="O15" s="635">
        <v>39427000</v>
      </c>
      <c r="P15" s="635">
        <v>36140000</v>
      </c>
      <c r="Q15" s="636">
        <f>19642000+8315000</f>
        <v>27957000</v>
      </c>
      <c r="R15" s="636">
        <f>25898000+30022000</f>
        <v>55920000</v>
      </c>
      <c r="S15" s="653"/>
      <c r="T15" s="653"/>
      <c r="U15" s="650">
        <v>40326000</v>
      </c>
      <c r="V15" s="650">
        <v>58797000</v>
      </c>
      <c r="W15" s="652">
        <v>67428000000</v>
      </c>
      <c r="X15" s="652">
        <v>73205000000</v>
      </c>
    </row>
    <row r="16" spans="1:25" x14ac:dyDescent="0.25">
      <c r="A16" s="639" t="s">
        <v>27</v>
      </c>
      <c r="B16" s="654">
        <v>232221500</v>
      </c>
      <c r="C16" s="654">
        <v>198979456.74900001</v>
      </c>
      <c r="D16" s="654">
        <v>179030354</v>
      </c>
      <c r="E16" s="654">
        <v>185362746</v>
      </c>
      <c r="F16" s="654">
        <v>172730231</v>
      </c>
      <c r="G16" s="654">
        <v>172730231</v>
      </c>
      <c r="H16" s="654">
        <v>179811763</v>
      </c>
      <c r="I16" s="654">
        <v>179811763</v>
      </c>
      <c r="J16" s="654">
        <v>201809452</v>
      </c>
      <c r="K16" s="655">
        <v>201809452</v>
      </c>
      <c r="L16" s="655">
        <f>SUM(L14:L15)</f>
        <v>203526909</v>
      </c>
      <c r="M16" s="654">
        <v>226637123</v>
      </c>
      <c r="N16" s="654">
        <v>255810236</v>
      </c>
      <c r="O16" s="654">
        <v>255810000</v>
      </c>
      <c r="P16" s="654">
        <v>254320000</v>
      </c>
      <c r="Q16" s="608">
        <f>+Q14+Q15</f>
        <v>246137000</v>
      </c>
      <c r="R16" s="608">
        <f>+R14+R15</f>
        <v>286000000</v>
      </c>
      <c r="S16" s="608">
        <f t="shared" ref="S16:X16" si="6">+S14+S15</f>
        <v>239055000</v>
      </c>
      <c r="T16" s="608">
        <f t="shared" si="6"/>
        <v>91298000</v>
      </c>
      <c r="U16" s="608">
        <f t="shared" si="6"/>
        <v>240620000</v>
      </c>
      <c r="V16" s="608">
        <f t="shared" si="6"/>
        <v>329442000</v>
      </c>
      <c r="W16" s="608">
        <f t="shared" si="6"/>
        <v>338073000000</v>
      </c>
      <c r="X16" s="608">
        <f t="shared" si="6"/>
        <v>433889000000</v>
      </c>
    </row>
    <row r="17" spans="1:24" x14ac:dyDescent="0.25">
      <c r="A17" s="633" t="s">
        <v>29</v>
      </c>
      <c r="B17" s="648">
        <v>222536200</v>
      </c>
      <c r="C17" s="648">
        <v>215985940.954</v>
      </c>
      <c r="D17" s="648">
        <v>181217803</v>
      </c>
      <c r="E17" s="648">
        <v>168888433</v>
      </c>
      <c r="F17" s="648">
        <v>164421649</v>
      </c>
      <c r="G17" s="648">
        <v>164421649</v>
      </c>
      <c r="H17" s="648">
        <v>180130973</v>
      </c>
      <c r="I17" s="648">
        <v>180130973</v>
      </c>
      <c r="J17" s="648">
        <v>202351672</v>
      </c>
      <c r="K17" s="649">
        <v>202351672</v>
      </c>
      <c r="L17" s="649">
        <f>188618853+41548204+115406</f>
        <v>230282463</v>
      </c>
      <c r="M17" s="648">
        <v>239550328</v>
      </c>
      <c r="N17" s="648">
        <v>225075548</v>
      </c>
      <c r="O17" s="635">
        <v>225074000</v>
      </c>
      <c r="P17" s="635">
        <v>231512000</v>
      </c>
      <c r="Q17" s="636">
        <f>188739000+42773000</f>
        <v>231512000</v>
      </c>
      <c r="R17" s="636">
        <f>207137000+40641000</f>
        <v>247778000</v>
      </c>
      <c r="S17" s="658">
        <v>54454000</v>
      </c>
      <c r="T17" s="658">
        <v>55843000</v>
      </c>
      <c r="U17" s="659">
        <v>234208000</v>
      </c>
      <c r="V17" s="659">
        <v>340228000</v>
      </c>
      <c r="W17" s="493">
        <v>340228000000</v>
      </c>
      <c r="X17" s="493">
        <v>432619000000</v>
      </c>
    </row>
    <row r="18" spans="1:24" x14ac:dyDescent="0.25">
      <c r="A18" s="633" t="s">
        <v>30</v>
      </c>
      <c r="B18" s="648">
        <v>12406600</v>
      </c>
      <c r="C18" s="648">
        <v>61186563.688000001</v>
      </c>
      <c r="D18" s="648">
        <v>25323905</v>
      </c>
      <c r="E18" s="648">
        <v>28705166</v>
      </c>
      <c r="F18" s="648">
        <v>10255208</v>
      </c>
      <c r="G18" s="648">
        <v>10255208</v>
      </c>
      <c r="H18" s="648">
        <v>10218790</v>
      </c>
      <c r="I18" s="648">
        <v>10218790</v>
      </c>
      <c r="J18" s="648">
        <v>16821600</v>
      </c>
      <c r="K18" s="649">
        <v>16821600</v>
      </c>
      <c r="L18" s="649">
        <f>1149076+6546154+852377+10746622</f>
        <v>19294229</v>
      </c>
      <c r="M18" s="648">
        <v>44341708</v>
      </c>
      <c r="N18" s="648">
        <v>31043507</v>
      </c>
      <c r="O18" s="635">
        <v>31044000</v>
      </c>
      <c r="P18" s="635">
        <v>21553000</v>
      </c>
      <c r="Q18" s="636">
        <v>13370000</v>
      </c>
      <c r="R18" s="636">
        <v>25403000</v>
      </c>
      <c r="S18" s="653"/>
      <c r="T18" s="653"/>
      <c r="U18" s="657">
        <f>(-2370+805+24525-1876-4593-4221)*1000</f>
        <v>12270000</v>
      </c>
      <c r="V18" s="657">
        <f>(-5040+5607+16213-2359-1196-4594)*1000</f>
        <v>8631000</v>
      </c>
      <c r="W18" s="653"/>
      <c r="X18" s="653"/>
    </row>
    <row r="19" spans="1:24" x14ac:dyDescent="0.25">
      <c r="A19" s="633" t="s">
        <v>31</v>
      </c>
      <c r="B19" s="648">
        <v>0</v>
      </c>
      <c r="C19" s="648">
        <v>0</v>
      </c>
      <c r="D19" s="648">
        <v>0</v>
      </c>
      <c r="E19" s="648"/>
      <c r="F19" s="648"/>
      <c r="G19" s="648"/>
      <c r="H19" s="648">
        <v>0</v>
      </c>
      <c r="I19" s="648">
        <v>0</v>
      </c>
      <c r="J19" s="648"/>
      <c r="K19" s="649"/>
      <c r="L19" s="649"/>
      <c r="M19" s="648"/>
      <c r="N19" s="648"/>
      <c r="O19" s="648"/>
      <c r="P19" s="648"/>
      <c r="Q19" s="636"/>
      <c r="R19" s="636">
        <v>153000</v>
      </c>
      <c r="S19" s="658">
        <v>152000</v>
      </c>
      <c r="T19" s="658">
        <v>78000</v>
      </c>
      <c r="U19" s="650">
        <v>0</v>
      </c>
      <c r="V19" s="650">
        <v>0</v>
      </c>
      <c r="W19" s="660">
        <v>0</v>
      </c>
      <c r="X19" s="651">
        <v>-190000000</v>
      </c>
    </row>
    <row r="20" spans="1:24" ht="15.75" thickBot="1" x14ac:dyDescent="0.3">
      <c r="A20" s="639" t="s">
        <v>32</v>
      </c>
      <c r="B20" s="654">
        <v>234942800</v>
      </c>
      <c r="C20" s="654">
        <v>277172504.64200002</v>
      </c>
      <c r="D20" s="654">
        <v>206541708</v>
      </c>
      <c r="E20" s="654">
        <v>197593599</v>
      </c>
      <c r="F20" s="654">
        <v>174676857</v>
      </c>
      <c r="G20" s="654">
        <v>174676857</v>
      </c>
      <c r="H20" s="654">
        <v>190349763</v>
      </c>
      <c r="I20" s="654">
        <v>190349763</v>
      </c>
      <c r="J20" s="654">
        <v>219173272</v>
      </c>
      <c r="K20" s="655">
        <v>219173272</v>
      </c>
      <c r="L20" s="655">
        <f>SUM(L17:L19)</f>
        <v>249576692</v>
      </c>
      <c r="M20" s="654">
        <v>283892036</v>
      </c>
      <c r="N20" s="654">
        <v>256119055</v>
      </c>
      <c r="O20" s="654">
        <v>256118000</v>
      </c>
      <c r="P20" s="654">
        <v>253065000</v>
      </c>
      <c r="Q20" s="608">
        <f>+SUM(Q17:Q19)</f>
        <v>244882000</v>
      </c>
      <c r="R20" s="608">
        <f>+SUM(R17:R19)</f>
        <v>273334000</v>
      </c>
      <c r="S20" s="608">
        <f>+SUM(S17:S19)</f>
        <v>54606000</v>
      </c>
      <c r="T20" s="608">
        <f>+SUM(T17:T19)</f>
        <v>55921000</v>
      </c>
      <c r="U20" s="608">
        <f t="shared" ref="U20:X20" si="7">+SUM(U17:U19)</f>
        <v>246478000</v>
      </c>
      <c r="V20" s="608">
        <f t="shared" si="7"/>
        <v>348859000</v>
      </c>
      <c r="W20" s="608">
        <f t="shared" si="7"/>
        <v>340228000000</v>
      </c>
      <c r="X20" s="608">
        <f t="shared" si="7"/>
        <v>432429000000</v>
      </c>
    </row>
    <row r="21" spans="1:24" ht="15.75" thickBot="1" x14ac:dyDescent="0.3">
      <c r="A21" s="646" t="s">
        <v>33</v>
      </c>
      <c r="B21" s="654">
        <v>7294000</v>
      </c>
      <c r="C21" s="654">
        <v>-24931481.926999986</v>
      </c>
      <c r="D21" s="654">
        <v>-15174395</v>
      </c>
      <c r="E21" s="654">
        <v>11021272</v>
      </c>
      <c r="F21" s="654">
        <v>-2212154</v>
      </c>
      <c r="G21" s="654">
        <v>-2212154</v>
      </c>
      <c r="H21" s="654">
        <v>-8559437</v>
      </c>
      <c r="I21" s="654">
        <v>-8559437</v>
      </c>
      <c r="J21" s="654">
        <v>-19637669</v>
      </c>
      <c r="K21" s="661">
        <v>-19637669</v>
      </c>
      <c r="L21" s="661">
        <f>+L14-L17</f>
        <v>-36600762</v>
      </c>
      <c r="M21" s="662">
        <v>-39519130</v>
      </c>
      <c r="N21" s="662">
        <v>-8692079</v>
      </c>
      <c r="O21" s="662">
        <v>-8691000</v>
      </c>
      <c r="P21" s="662">
        <v>-13332000</v>
      </c>
      <c r="Q21" s="663">
        <f>+Q14-Q17</f>
        <v>-13332000</v>
      </c>
      <c r="R21" s="663">
        <f>+R14-R17</f>
        <v>-17698000</v>
      </c>
      <c r="S21" s="664">
        <v>-41475000</v>
      </c>
      <c r="T21" s="664">
        <v>-98156000</v>
      </c>
      <c r="U21" s="659">
        <f>+U14-U17</f>
        <v>-33914000</v>
      </c>
      <c r="V21" s="659">
        <f>+V14-V17</f>
        <v>-69583000</v>
      </c>
      <c r="W21" s="500">
        <v>-69583000000</v>
      </c>
      <c r="X21" s="494">
        <v>-71935000000</v>
      </c>
    </row>
    <row r="22" spans="1:24" ht="15.75" thickBot="1" x14ac:dyDescent="0.3">
      <c r="A22" s="647" t="s">
        <v>34</v>
      </c>
      <c r="B22" s="665">
        <v>-2721300</v>
      </c>
      <c r="C22" s="665">
        <v>-78193047.893000007</v>
      </c>
      <c r="D22" s="665">
        <v>-27511354</v>
      </c>
      <c r="E22" s="665">
        <v>-12230853</v>
      </c>
      <c r="F22" s="665">
        <v>-1946626</v>
      </c>
      <c r="G22" s="666">
        <v>-1946626</v>
      </c>
      <c r="H22" s="666">
        <v>-10538000</v>
      </c>
      <c r="I22" s="666">
        <v>-10538000</v>
      </c>
      <c r="J22" s="666">
        <v>-17363820</v>
      </c>
      <c r="K22" s="667">
        <v>-17363820</v>
      </c>
      <c r="L22" s="667">
        <f>+L16-L20</f>
        <v>-46049783</v>
      </c>
      <c r="M22" s="666">
        <v>-57254913</v>
      </c>
      <c r="N22" s="666">
        <v>-308819</v>
      </c>
      <c r="O22" s="666">
        <v>-308000</v>
      </c>
      <c r="P22" s="665">
        <v>1255000</v>
      </c>
      <c r="Q22" s="663">
        <f>+Q16-Q20</f>
        <v>1255000</v>
      </c>
      <c r="R22" s="663">
        <f>+R16-R20</f>
        <v>12666000</v>
      </c>
      <c r="S22" s="668">
        <v>498000</v>
      </c>
      <c r="T22" s="664">
        <v>-52912000</v>
      </c>
      <c r="U22" s="653">
        <v>18682000</v>
      </c>
      <c r="V22" s="653">
        <v>-2155000</v>
      </c>
      <c r="W22" s="500">
        <v>-2155000000</v>
      </c>
      <c r="X22" s="494">
        <v>1080000000</v>
      </c>
    </row>
    <row r="25" spans="1:24" x14ac:dyDescent="0.25">
      <c r="Q25" s="493"/>
      <c r="R25" s="493"/>
    </row>
    <row r="28" spans="1:24" x14ac:dyDescent="0.25">
      <c r="P28" s="602"/>
      <c r="Q28" s="669"/>
      <c r="R28" s="669"/>
      <c r="S28" s="602"/>
    </row>
    <row r="29" spans="1:24" x14ac:dyDescent="0.25">
      <c r="P29" s="602"/>
      <c r="Q29" s="602"/>
      <c r="R29" s="602"/>
      <c r="S29" s="602"/>
    </row>
    <row r="30" spans="1:24" x14ac:dyDescent="0.25">
      <c r="P30" s="602"/>
      <c r="Q30" s="670"/>
      <c r="R30" s="670"/>
      <c r="S30" s="602"/>
    </row>
    <row r="31" spans="1:24" x14ac:dyDescent="0.25">
      <c r="P31" s="602"/>
      <c r="Q31" s="670"/>
      <c r="R31" s="670"/>
      <c r="S31" s="602"/>
    </row>
  </sheetData>
  <mergeCells count="11">
    <mergeCell ref="S1:T1"/>
    <mergeCell ref="U1:V1"/>
    <mergeCell ref="W1:X1"/>
    <mergeCell ref="M1:N1"/>
    <mergeCell ref="O1:P1"/>
    <mergeCell ref="Q1:R1"/>
    <mergeCell ref="B1:F1"/>
    <mergeCell ref="A1:A2"/>
    <mergeCell ref="G1:H1"/>
    <mergeCell ref="I1:J1"/>
    <mergeCell ref="K1:L1"/>
  </mergeCells>
  <conditionalFormatting sqref="Q21:R22">
    <cfRule type="cellIs" dxfId="101" priority="9" stopIfTrue="1" operator="lessThan">
      <formula>0</formula>
    </cfRule>
    <cfRule type="uniqueValues" priority="10" stopIfTrue="1"/>
    <cfRule type="cellIs" dxfId="100" priority="11" stopIfTrue="1" operator="lessThan">
      <formula>0</formula>
    </cfRule>
    <cfRule type="cellIs" dxfId="99" priority="12" stopIfTrue="1" operator="lessThan">
      <formula>-74404846</formula>
    </cfRule>
  </conditionalFormatting>
  <conditionalFormatting sqref="S22">
    <cfRule type="cellIs" dxfId="98" priority="1" stopIfTrue="1" operator="lessThan">
      <formula>0</formula>
    </cfRule>
    <cfRule type="uniqueValues" priority="2" stopIfTrue="1"/>
    <cfRule type="cellIs" dxfId="97" priority="3" stopIfTrue="1" operator="lessThan">
      <formula>0</formula>
    </cfRule>
    <cfRule type="cellIs" dxfId="96" priority="4" stopIfTrue="1" operator="lessThan">
      <formula>-74404846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E312-C340-4D24-BEB7-09F54910C2E5}">
  <dimension ref="A1:BA32"/>
  <sheetViews>
    <sheetView workbookViewId="0">
      <pane xSplit="1" topLeftCell="AN1" activePane="topRight" state="frozen"/>
      <selection pane="topRight" activeCell="AQ27" sqref="AQ27"/>
    </sheetView>
  </sheetViews>
  <sheetFormatPr baseColWidth="10" defaultRowHeight="15" x14ac:dyDescent="0.25"/>
  <cols>
    <col min="1" max="1" width="32.85546875" bestFit="1" customWidth="1"/>
    <col min="38" max="39" width="12.85546875" bestFit="1" customWidth="1"/>
    <col min="40" max="40" width="13.42578125" bestFit="1" customWidth="1"/>
    <col min="41" max="41" width="13.7109375" bestFit="1" customWidth="1"/>
    <col min="48" max="48" width="11.85546875" bestFit="1" customWidth="1"/>
    <col min="49" max="49" width="13.42578125" bestFit="1" customWidth="1"/>
  </cols>
  <sheetData>
    <row r="1" spans="1:53" ht="15.75" customHeight="1" thickBot="1" x14ac:dyDescent="0.3">
      <c r="A1" s="575" t="s">
        <v>0</v>
      </c>
      <c r="B1" s="555" t="s">
        <v>35</v>
      </c>
      <c r="C1" s="556"/>
      <c r="D1" s="556"/>
      <c r="E1" s="556"/>
      <c r="F1" s="557"/>
      <c r="G1" s="555" t="s">
        <v>36</v>
      </c>
      <c r="H1" s="556"/>
      <c r="I1" s="556"/>
      <c r="J1" s="556"/>
      <c r="K1" s="557"/>
      <c r="L1" s="577" t="s">
        <v>35</v>
      </c>
      <c r="M1" s="579"/>
      <c r="N1" s="577" t="s">
        <v>36</v>
      </c>
      <c r="O1" s="578"/>
      <c r="P1" s="558" t="s">
        <v>35</v>
      </c>
      <c r="Q1" s="559"/>
      <c r="R1" s="558" t="s">
        <v>36</v>
      </c>
      <c r="S1" s="581"/>
      <c r="T1" s="563" t="s">
        <v>35</v>
      </c>
      <c r="U1" s="564"/>
      <c r="V1" s="563" t="s">
        <v>36</v>
      </c>
      <c r="W1" s="580"/>
      <c r="X1" s="558" t="s">
        <v>35</v>
      </c>
      <c r="Y1" s="559"/>
      <c r="Z1" s="558" t="s">
        <v>36</v>
      </c>
      <c r="AA1" s="559"/>
      <c r="AB1" s="686" t="s">
        <v>190</v>
      </c>
      <c r="AC1" s="686"/>
      <c r="AD1" s="686" t="s">
        <v>36</v>
      </c>
      <c r="AE1" s="687"/>
      <c r="AF1" s="603" t="s">
        <v>157</v>
      </c>
      <c r="AG1" s="603"/>
      <c r="AH1" s="690" t="s">
        <v>158</v>
      </c>
      <c r="AI1" s="690"/>
      <c r="AJ1" s="703" t="s">
        <v>193</v>
      </c>
      <c r="AK1" s="703"/>
      <c r="AL1" s="703" t="s">
        <v>3</v>
      </c>
      <c r="AM1" s="703"/>
      <c r="AN1" s="703" t="s">
        <v>194</v>
      </c>
      <c r="AO1" s="703"/>
      <c r="AP1" s="703" t="s">
        <v>148</v>
      </c>
      <c r="AQ1" s="703"/>
      <c r="AR1" s="703" t="s">
        <v>191</v>
      </c>
      <c r="AS1" s="703"/>
      <c r="AT1" s="703" t="s">
        <v>150</v>
      </c>
      <c r="AU1" s="703"/>
      <c r="AV1" s="703" t="s">
        <v>192</v>
      </c>
      <c r="AW1" s="703"/>
      <c r="AX1" s="603" t="s">
        <v>157</v>
      </c>
      <c r="AY1" s="603"/>
    </row>
    <row r="2" spans="1:53" ht="15.75" thickBot="1" x14ac:dyDescent="0.3">
      <c r="A2" s="576"/>
      <c r="B2" s="67">
        <v>2008</v>
      </c>
      <c r="C2" s="67">
        <v>2009</v>
      </c>
      <c r="D2" s="67">
        <v>2010</v>
      </c>
      <c r="E2" s="67">
        <v>2011</v>
      </c>
      <c r="F2" s="67">
        <v>2012</v>
      </c>
      <c r="G2" s="67">
        <v>2008</v>
      </c>
      <c r="H2" s="67">
        <v>2009</v>
      </c>
      <c r="I2" s="67">
        <v>2010</v>
      </c>
      <c r="J2" s="67">
        <v>2011</v>
      </c>
      <c r="K2" s="67">
        <v>2012</v>
      </c>
      <c r="L2" s="222">
        <v>2012</v>
      </c>
      <c r="M2" s="222">
        <v>2013</v>
      </c>
      <c r="N2" s="222">
        <v>2012</v>
      </c>
      <c r="O2" s="222">
        <v>2013</v>
      </c>
      <c r="P2" s="283">
        <v>2013</v>
      </c>
      <c r="Q2" s="283">
        <v>2014</v>
      </c>
      <c r="R2" s="283">
        <v>2013</v>
      </c>
      <c r="S2" s="283">
        <v>2014</v>
      </c>
      <c r="T2" s="347">
        <v>2014</v>
      </c>
      <c r="U2" s="347">
        <v>2015</v>
      </c>
      <c r="V2" s="347">
        <v>2014</v>
      </c>
      <c r="W2" s="347">
        <v>2015</v>
      </c>
      <c r="X2" s="283">
        <v>2015</v>
      </c>
      <c r="Y2" s="283">
        <v>2016</v>
      </c>
      <c r="Z2" s="283">
        <v>2015</v>
      </c>
      <c r="AA2" s="671">
        <v>2016</v>
      </c>
      <c r="AB2" s="631">
        <v>2017</v>
      </c>
      <c r="AC2" s="631">
        <v>2018</v>
      </c>
      <c r="AD2" s="631">
        <v>2017</v>
      </c>
      <c r="AE2" s="688">
        <v>2018</v>
      </c>
      <c r="AF2" s="604">
        <v>2019</v>
      </c>
      <c r="AG2" s="604">
        <v>2020</v>
      </c>
      <c r="AH2" s="604">
        <v>2019</v>
      </c>
      <c r="AI2" s="604">
        <v>2020</v>
      </c>
      <c r="AJ2" s="705">
        <v>2021</v>
      </c>
      <c r="AK2" s="705">
        <v>2022</v>
      </c>
      <c r="AL2" s="705">
        <v>2021</v>
      </c>
      <c r="AM2" s="705">
        <v>2022</v>
      </c>
      <c r="AN2" s="705">
        <v>2021</v>
      </c>
      <c r="AO2" s="705">
        <v>2022</v>
      </c>
      <c r="AP2" s="705">
        <v>2021</v>
      </c>
      <c r="AQ2" s="705">
        <v>2022</v>
      </c>
      <c r="AR2" s="705">
        <v>2021</v>
      </c>
      <c r="AS2" s="705">
        <v>2022</v>
      </c>
      <c r="AT2" s="705">
        <v>2021</v>
      </c>
      <c r="AU2" s="705">
        <v>2022</v>
      </c>
      <c r="AV2" s="705">
        <v>2021</v>
      </c>
      <c r="AW2" s="705">
        <v>2022</v>
      </c>
      <c r="AX2" s="705">
        <v>2021</v>
      </c>
      <c r="AY2" s="705">
        <v>2022</v>
      </c>
    </row>
    <row r="3" spans="1:53" x14ac:dyDescent="0.25">
      <c r="A3" s="4" t="s">
        <v>5</v>
      </c>
      <c r="B3" s="26"/>
      <c r="C3" s="26"/>
      <c r="D3" s="26"/>
      <c r="E3" s="26"/>
      <c r="F3" s="26"/>
      <c r="G3" s="27"/>
      <c r="H3" s="28"/>
      <c r="I3" s="29"/>
      <c r="J3" s="29"/>
      <c r="K3" s="29"/>
      <c r="L3" s="26"/>
      <c r="M3" s="26"/>
      <c r="N3" s="27"/>
      <c r="O3" s="28"/>
      <c r="P3" s="26"/>
      <c r="Q3" s="26"/>
      <c r="R3" s="27"/>
      <c r="S3" s="28"/>
      <c r="T3" s="348"/>
      <c r="U3" s="348"/>
      <c r="V3" s="349"/>
      <c r="W3" s="350"/>
      <c r="X3" s="26"/>
      <c r="Y3" s="26"/>
      <c r="Z3" s="27"/>
      <c r="AA3" s="672"/>
      <c r="AB3" s="605"/>
      <c r="AC3" s="605"/>
      <c r="AD3" s="605"/>
      <c r="AE3" s="616"/>
      <c r="AF3" s="605"/>
      <c r="AG3" s="605"/>
      <c r="AH3" s="605"/>
      <c r="AI3" s="605"/>
      <c r="AJ3" s="605"/>
      <c r="AK3" s="605"/>
      <c r="AL3" s="605"/>
      <c r="AM3" s="605"/>
      <c r="AN3" s="605"/>
      <c r="AO3" s="605"/>
      <c r="AP3" s="605"/>
      <c r="AQ3" s="605"/>
      <c r="AR3" s="605"/>
      <c r="AS3" s="605"/>
      <c r="AT3" s="605"/>
      <c r="AU3" s="605"/>
      <c r="AV3" s="605"/>
      <c r="AW3" s="605"/>
      <c r="AX3" s="605"/>
      <c r="AY3" s="605"/>
    </row>
    <row r="4" spans="1:53" x14ac:dyDescent="0.25">
      <c r="A4" s="5" t="s">
        <v>6</v>
      </c>
      <c r="B4" s="30"/>
      <c r="C4" s="30"/>
      <c r="D4" s="30"/>
      <c r="E4" s="30"/>
      <c r="F4" s="30"/>
      <c r="G4" s="31"/>
      <c r="H4" s="32"/>
      <c r="I4" s="33"/>
      <c r="J4" s="33"/>
      <c r="K4" s="33"/>
      <c r="L4" s="30"/>
      <c r="M4" s="30"/>
      <c r="N4" s="31"/>
      <c r="O4" s="32"/>
      <c r="P4" s="30"/>
      <c r="Q4" s="30"/>
      <c r="R4" s="31"/>
      <c r="S4" s="32"/>
      <c r="T4" s="351"/>
      <c r="U4" s="351"/>
      <c r="V4" s="352"/>
      <c r="W4" s="353"/>
      <c r="X4" s="30"/>
      <c r="Y4" s="30"/>
      <c r="Z4" s="31"/>
      <c r="AA4" s="673"/>
      <c r="AB4" s="605"/>
      <c r="AC4" s="605"/>
      <c r="AD4" s="605"/>
      <c r="AE4" s="616"/>
      <c r="AF4" s="605"/>
      <c r="AG4" s="605"/>
      <c r="AH4" s="605"/>
      <c r="AI4" s="605"/>
      <c r="AJ4" s="605"/>
      <c r="AK4" s="605"/>
      <c r="AL4" s="605"/>
      <c r="AM4" s="605"/>
      <c r="AN4" s="605"/>
      <c r="AO4" s="605"/>
      <c r="AP4" s="605"/>
      <c r="AQ4" s="605"/>
      <c r="AR4" s="605"/>
      <c r="AS4" s="605"/>
      <c r="AT4" s="605"/>
      <c r="AU4" s="605"/>
      <c r="AV4" s="605"/>
      <c r="AW4" s="605"/>
      <c r="AX4" s="605"/>
      <c r="AY4" s="605"/>
    </row>
    <row r="5" spans="1:53" x14ac:dyDescent="0.25">
      <c r="A5" s="6" t="s">
        <v>7</v>
      </c>
      <c r="B5" s="34">
        <v>0</v>
      </c>
      <c r="C5" s="34">
        <v>3232664.8049999997</v>
      </c>
      <c r="D5" s="34">
        <v>4252784</v>
      </c>
      <c r="E5" s="34">
        <v>2219490</v>
      </c>
      <c r="F5" s="34">
        <v>2754468</v>
      </c>
      <c r="G5" s="35">
        <v>4633121</v>
      </c>
      <c r="H5" s="36">
        <v>9012643</v>
      </c>
      <c r="I5" s="37">
        <v>12882699</v>
      </c>
      <c r="J5" s="37">
        <v>18909376</v>
      </c>
      <c r="K5" s="37">
        <v>15499521</v>
      </c>
      <c r="L5" s="34">
        <v>2754468</v>
      </c>
      <c r="M5" s="34">
        <v>4000326</v>
      </c>
      <c r="N5" s="35">
        <v>15499521</v>
      </c>
      <c r="O5" s="36">
        <v>18097284</v>
      </c>
      <c r="P5" s="34">
        <v>4000326</v>
      </c>
      <c r="Q5" s="34">
        <v>4429602</v>
      </c>
      <c r="R5" s="35">
        <v>18097284</v>
      </c>
      <c r="S5" s="36">
        <v>23309382</v>
      </c>
      <c r="T5" s="354">
        <v>4429602</v>
      </c>
      <c r="U5" s="354">
        <v>5935698</v>
      </c>
      <c r="V5" s="355">
        <v>20343393</v>
      </c>
      <c r="W5" s="356">
        <v>35364189</v>
      </c>
      <c r="X5" s="34">
        <v>8698016</v>
      </c>
      <c r="Y5" s="34">
        <v>4649955</v>
      </c>
      <c r="Z5" s="35">
        <v>18299904</v>
      </c>
      <c r="AA5" s="674">
        <v>17129286</v>
      </c>
      <c r="AB5" s="634">
        <v>6824972</v>
      </c>
      <c r="AC5" s="634">
        <v>10371630</v>
      </c>
      <c r="AD5" s="634">
        <v>74832583</v>
      </c>
      <c r="AE5" s="689">
        <v>92289485</v>
      </c>
      <c r="AF5" s="658">
        <v>11695556</v>
      </c>
      <c r="AG5" s="658">
        <v>8499241</v>
      </c>
      <c r="AH5" s="658">
        <v>3019953</v>
      </c>
      <c r="AI5" s="658">
        <v>2662450</v>
      </c>
      <c r="AJ5" s="641">
        <v>267235162</v>
      </c>
      <c r="AK5" s="641">
        <v>323417897</v>
      </c>
      <c r="AL5" s="641">
        <v>600394706</v>
      </c>
      <c r="AM5" s="641">
        <v>924846233</v>
      </c>
      <c r="AN5" s="641">
        <v>4538185462</v>
      </c>
      <c r="AO5" s="641">
        <v>4164545964</v>
      </c>
      <c r="AP5" s="641">
        <v>117339018</v>
      </c>
      <c r="AQ5" s="641">
        <v>72564699</v>
      </c>
      <c r="AR5" s="707"/>
      <c r="AS5" s="641"/>
      <c r="AT5" s="641">
        <v>143052311</v>
      </c>
      <c r="AU5" s="707">
        <v>208554442</v>
      </c>
      <c r="AV5" s="641">
        <v>97141895</v>
      </c>
      <c r="AW5" s="641">
        <v>152046832</v>
      </c>
      <c r="AX5" s="607">
        <v>17261686</v>
      </c>
      <c r="AY5" s="607">
        <v>20538045</v>
      </c>
      <c r="AZ5" s="601"/>
      <c r="BA5" s="601"/>
    </row>
    <row r="6" spans="1:53" x14ac:dyDescent="0.25">
      <c r="A6" s="6" t="s">
        <v>8</v>
      </c>
      <c r="B6" s="34">
        <v>0</v>
      </c>
      <c r="C6" s="34">
        <v>4329222.6189999999</v>
      </c>
      <c r="D6" s="34">
        <v>3933254</v>
      </c>
      <c r="E6" s="34">
        <v>2404345</v>
      </c>
      <c r="F6" s="34">
        <v>2405666</v>
      </c>
      <c r="G6" s="35">
        <v>4018517</v>
      </c>
      <c r="H6" s="36">
        <v>5492069</v>
      </c>
      <c r="I6" s="37">
        <v>18483189</v>
      </c>
      <c r="J6" s="37">
        <v>37838189</v>
      </c>
      <c r="K6" s="37">
        <v>45968697</v>
      </c>
      <c r="L6" s="34">
        <v>2405666</v>
      </c>
      <c r="M6" s="34">
        <v>2204376</v>
      </c>
      <c r="N6" s="35">
        <v>45968697</v>
      </c>
      <c r="O6" s="36">
        <v>52590340</v>
      </c>
      <c r="P6" s="34">
        <v>2204376</v>
      </c>
      <c r="Q6" s="34">
        <v>2155635</v>
      </c>
      <c r="R6" s="35">
        <v>52590340</v>
      </c>
      <c r="S6" s="36">
        <v>59774949</v>
      </c>
      <c r="T6" s="354">
        <v>2155635</v>
      </c>
      <c r="U6" s="354">
        <v>6902447</v>
      </c>
      <c r="V6" s="355">
        <v>59774949</v>
      </c>
      <c r="W6" s="356">
        <v>171675381</v>
      </c>
      <c r="X6" s="34">
        <v>49109552</v>
      </c>
      <c r="Y6" s="34">
        <v>53945499</v>
      </c>
      <c r="Z6" s="35">
        <v>206519307</v>
      </c>
      <c r="AA6" s="674">
        <v>258616405</v>
      </c>
      <c r="AB6" s="634">
        <v>27171074</v>
      </c>
      <c r="AC6" s="634">
        <v>23531690</v>
      </c>
      <c r="AD6" s="634">
        <v>201298400</v>
      </c>
      <c r="AE6" s="689">
        <v>228853059</v>
      </c>
      <c r="AF6" s="658">
        <v>9565508</v>
      </c>
      <c r="AG6" s="658">
        <v>9630210</v>
      </c>
      <c r="AH6" s="658">
        <v>29076285</v>
      </c>
      <c r="AI6" s="658">
        <v>29091382</v>
      </c>
      <c r="AJ6" s="641">
        <v>229769761</v>
      </c>
      <c r="AK6" s="641">
        <v>486338240</v>
      </c>
      <c r="AL6" s="641">
        <v>10928786</v>
      </c>
      <c r="AM6" s="641">
        <v>16735590</v>
      </c>
      <c r="AN6" s="641">
        <v>7458236719</v>
      </c>
      <c r="AO6" s="641">
        <v>13722425274</v>
      </c>
      <c r="AP6" s="641">
        <v>7690123</v>
      </c>
      <c r="AQ6" s="641">
        <v>10337846</v>
      </c>
      <c r="AR6" s="707"/>
      <c r="AS6" s="641"/>
      <c r="AT6" s="641">
        <v>445607061</v>
      </c>
      <c r="AU6" s="707">
        <v>485117377</v>
      </c>
      <c r="AV6" s="641"/>
      <c r="AW6" s="642">
        <v>63343986</v>
      </c>
      <c r="AX6" s="607">
        <v>9076246</v>
      </c>
      <c r="AY6" s="607">
        <v>6645464</v>
      </c>
      <c r="AZ6" s="601"/>
      <c r="BA6" s="601"/>
    </row>
    <row r="7" spans="1:53" ht="15.75" thickBot="1" x14ac:dyDescent="0.3">
      <c r="A7" s="6" t="s">
        <v>9</v>
      </c>
      <c r="B7" s="34">
        <v>0</v>
      </c>
      <c r="C7" s="34">
        <v>3437899.3339999998</v>
      </c>
      <c r="D7" s="34">
        <v>2823899</v>
      </c>
      <c r="E7" s="34">
        <v>8580369</v>
      </c>
      <c r="F7" s="34">
        <v>10019394</v>
      </c>
      <c r="G7" s="35">
        <v>14878940</v>
      </c>
      <c r="H7" s="36">
        <v>23009664</v>
      </c>
      <c r="I7" s="37">
        <v>33956649</v>
      </c>
      <c r="J7" s="37">
        <v>46831948</v>
      </c>
      <c r="K7" s="37">
        <v>55258133</v>
      </c>
      <c r="L7" s="34">
        <v>10019394</v>
      </c>
      <c r="M7" s="34">
        <v>11545024</v>
      </c>
      <c r="N7" s="35">
        <v>55258133</v>
      </c>
      <c r="O7" s="36">
        <v>44238969</v>
      </c>
      <c r="P7" s="56">
        <v>11545024</v>
      </c>
      <c r="Q7" s="56">
        <v>15477435</v>
      </c>
      <c r="R7" s="57">
        <v>44238969</v>
      </c>
      <c r="S7" s="58">
        <v>37928648</v>
      </c>
      <c r="T7" s="357">
        <v>15477435</v>
      </c>
      <c r="U7" s="357">
        <v>45842045</v>
      </c>
      <c r="V7" s="358">
        <v>40894637</v>
      </c>
      <c r="W7" s="359">
        <v>55213634</v>
      </c>
      <c r="X7" s="56"/>
      <c r="Y7" s="56"/>
      <c r="Z7" s="57">
        <v>5215996</v>
      </c>
      <c r="AA7" s="675">
        <v>5573984</v>
      </c>
      <c r="AB7" s="634">
        <f>51894003-AB6</f>
        <v>24722929</v>
      </c>
      <c r="AC7" s="634">
        <f>50949907-AC6</f>
        <v>27418217</v>
      </c>
      <c r="AD7" s="634">
        <f>219139866-AD6</f>
        <v>17841466</v>
      </c>
      <c r="AE7" s="689">
        <f>245424666-AE6</f>
        <v>16571607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5"/>
      <c r="AR7" s="605"/>
      <c r="AS7" s="605"/>
      <c r="AT7" s="605"/>
      <c r="AU7" s="605"/>
      <c r="AV7" s="605"/>
      <c r="AW7" s="605"/>
      <c r="AX7" s="605"/>
      <c r="AY7" s="605"/>
    </row>
    <row r="8" spans="1:53" ht="15.75" thickBot="1" x14ac:dyDescent="0.3">
      <c r="A8" s="5" t="s">
        <v>10</v>
      </c>
      <c r="B8" s="38">
        <v>0</v>
      </c>
      <c r="C8" s="38">
        <v>10999786.757999999</v>
      </c>
      <c r="D8" s="38">
        <v>11009937</v>
      </c>
      <c r="E8" s="38">
        <v>13204204</v>
      </c>
      <c r="F8" s="38">
        <v>15179528</v>
      </c>
      <c r="G8" s="39">
        <v>23530578</v>
      </c>
      <c r="H8" s="40">
        <v>37514376</v>
      </c>
      <c r="I8" s="41">
        <v>65322537</v>
      </c>
      <c r="J8" s="41">
        <v>103579513</v>
      </c>
      <c r="K8" s="41">
        <v>116726351</v>
      </c>
      <c r="L8" s="38">
        <v>15179528</v>
      </c>
      <c r="M8" s="38">
        <v>17749726</v>
      </c>
      <c r="N8" s="39">
        <v>116726351</v>
      </c>
      <c r="O8" s="40">
        <v>114926593</v>
      </c>
      <c r="P8" s="291">
        <v>17749726</v>
      </c>
      <c r="Q8" s="291">
        <v>22062672</v>
      </c>
      <c r="R8" s="292">
        <v>114926593</v>
      </c>
      <c r="S8" s="293">
        <v>121012979</v>
      </c>
      <c r="T8" s="360">
        <f t="shared" ref="T8:W8" si="0">SUM(T5:T7)</f>
        <v>22062672</v>
      </c>
      <c r="U8" s="360">
        <f t="shared" si="0"/>
        <v>58680190</v>
      </c>
      <c r="V8" s="360">
        <f t="shared" si="0"/>
        <v>121012979</v>
      </c>
      <c r="W8" s="361">
        <f t="shared" si="0"/>
        <v>262253204</v>
      </c>
      <c r="X8" s="291">
        <v>57807568</v>
      </c>
      <c r="Y8" s="291">
        <v>58595454</v>
      </c>
      <c r="Z8" s="291">
        <v>230035207</v>
      </c>
      <c r="AA8" s="676">
        <v>281319675</v>
      </c>
      <c r="AB8" s="605"/>
      <c r="AC8" s="605"/>
      <c r="AD8" s="605"/>
      <c r="AE8" s="616"/>
      <c r="AF8" s="605"/>
      <c r="AG8" s="605"/>
      <c r="AH8" s="605"/>
      <c r="AI8" s="605"/>
      <c r="AJ8" s="605"/>
      <c r="AK8" s="605"/>
      <c r="AL8" s="605"/>
      <c r="AM8" s="605"/>
      <c r="AN8" s="605"/>
      <c r="AO8" s="605"/>
      <c r="AP8" s="605"/>
      <c r="AQ8" s="605"/>
      <c r="AR8" s="605"/>
      <c r="AS8" s="605"/>
      <c r="AT8" s="605"/>
      <c r="AU8" s="605"/>
      <c r="AV8" s="605"/>
      <c r="AW8" s="605"/>
      <c r="AX8" s="605"/>
      <c r="AY8" s="605"/>
    </row>
    <row r="9" spans="1:53" x14ac:dyDescent="0.25">
      <c r="A9" s="5" t="s">
        <v>11</v>
      </c>
      <c r="B9" s="42"/>
      <c r="C9" s="42"/>
      <c r="D9" s="42"/>
      <c r="E9" s="42"/>
      <c r="F9" s="42"/>
      <c r="G9" s="43"/>
      <c r="H9" s="44"/>
      <c r="I9" s="45"/>
      <c r="J9" s="45"/>
      <c r="K9" s="45"/>
      <c r="L9" s="42"/>
      <c r="M9" s="42"/>
      <c r="N9" s="43"/>
      <c r="O9" s="44"/>
      <c r="P9" s="288"/>
      <c r="Q9" s="288"/>
      <c r="R9" s="289"/>
      <c r="S9" s="290"/>
      <c r="T9" s="362"/>
      <c r="U9" s="362"/>
      <c r="V9" s="363"/>
      <c r="W9" s="364"/>
      <c r="X9" s="288"/>
      <c r="Y9" s="288"/>
      <c r="Z9" s="289"/>
      <c r="AA9" s="677"/>
      <c r="AB9" s="605"/>
      <c r="AC9" s="605"/>
      <c r="AD9" s="605"/>
      <c r="AE9" s="616"/>
      <c r="AF9" s="605"/>
      <c r="AG9" s="605"/>
      <c r="AH9" s="605"/>
      <c r="AI9" s="605"/>
      <c r="AJ9" s="605"/>
      <c r="AK9" s="605"/>
      <c r="AL9" s="605"/>
      <c r="AM9" s="605"/>
      <c r="AN9" s="605"/>
      <c r="AO9" s="605"/>
      <c r="AP9" s="605"/>
      <c r="AQ9" s="605"/>
      <c r="AR9" s="605"/>
      <c r="AS9" s="605"/>
      <c r="AT9" s="605"/>
      <c r="AU9" s="605"/>
      <c r="AV9" s="605"/>
      <c r="AW9" s="605"/>
      <c r="AX9" s="605"/>
      <c r="AY9" s="605"/>
    </row>
    <row r="10" spans="1:53" x14ac:dyDescent="0.25">
      <c r="A10" s="6" t="s">
        <v>12</v>
      </c>
      <c r="B10" s="34">
        <v>0</v>
      </c>
      <c r="C10" s="34">
        <v>4359139.4960000003</v>
      </c>
      <c r="D10" s="34">
        <v>3961652</v>
      </c>
      <c r="E10" s="34">
        <v>5698438</v>
      </c>
      <c r="F10" s="34">
        <v>5108958</v>
      </c>
      <c r="G10" s="35">
        <v>7338332</v>
      </c>
      <c r="H10" s="36">
        <v>16389408</v>
      </c>
      <c r="I10" s="37">
        <v>15175589</v>
      </c>
      <c r="J10" s="37">
        <v>23230542</v>
      </c>
      <c r="K10" s="37">
        <v>18738900</v>
      </c>
      <c r="L10" s="34">
        <v>5108958</v>
      </c>
      <c r="M10" s="34">
        <v>8524067</v>
      </c>
      <c r="N10" s="35">
        <v>18738900</v>
      </c>
      <c r="O10" s="36">
        <v>17758253</v>
      </c>
      <c r="P10" s="34">
        <v>8524067</v>
      </c>
      <c r="Q10" s="34">
        <v>14213713</v>
      </c>
      <c r="R10" s="35">
        <v>17758253</v>
      </c>
      <c r="S10" s="36">
        <v>231036601</v>
      </c>
      <c r="T10" s="354">
        <v>14213713</v>
      </c>
      <c r="U10" s="354">
        <v>15781221</v>
      </c>
      <c r="V10" s="355">
        <v>25339467</v>
      </c>
      <c r="W10" s="356">
        <v>32076542</v>
      </c>
      <c r="X10" s="34">
        <v>13349336</v>
      </c>
      <c r="Y10" s="34">
        <v>13798663</v>
      </c>
      <c r="Z10" s="35">
        <v>35404119</v>
      </c>
      <c r="AA10" s="674">
        <v>52710799</v>
      </c>
      <c r="AB10" s="634">
        <v>9650100</v>
      </c>
      <c r="AC10" s="634">
        <v>16472417</v>
      </c>
      <c r="AD10" s="634">
        <v>79002249</v>
      </c>
      <c r="AE10" s="689">
        <v>81022628</v>
      </c>
      <c r="AF10" s="658">
        <v>6509598</v>
      </c>
      <c r="AG10" s="658">
        <v>3779472</v>
      </c>
      <c r="AH10" s="606">
        <v>1832144</v>
      </c>
      <c r="AI10" s="691">
        <v>1542915</v>
      </c>
      <c r="AJ10" s="641">
        <v>400170624</v>
      </c>
      <c r="AK10" s="641">
        <v>544935559</v>
      </c>
      <c r="AL10" s="641">
        <v>634020267</v>
      </c>
      <c r="AM10" s="641">
        <v>1424364780</v>
      </c>
      <c r="AN10" s="641">
        <v>9158329626</v>
      </c>
      <c r="AO10" s="607">
        <v>10308873170</v>
      </c>
      <c r="AP10" s="641">
        <v>177665680</v>
      </c>
      <c r="AQ10" s="641">
        <v>135780557</v>
      </c>
      <c r="AR10" s="707"/>
      <c r="AS10" s="641"/>
      <c r="AT10" s="641">
        <v>81490950</v>
      </c>
      <c r="AU10" s="707">
        <v>82401878</v>
      </c>
      <c r="AV10" s="641">
        <v>435733921</v>
      </c>
      <c r="AW10" s="642">
        <v>1895942749</v>
      </c>
      <c r="AX10" s="641">
        <v>5999547</v>
      </c>
      <c r="AY10" s="641">
        <v>18309840</v>
      </c>
    </row>
    <row r="11" spans="1:53" x14ac:dyDescent="0.25">
      <c r="A11" s="7" t="s">
        <v>13</v>
      </c>
      <c r="B11" s="34">
        <v>0</v>
      </c>
      <c r="C11" s="34">
        <v>3730555.2919999999</v>
      </c>
      <c r="D11" s="34">
        <v>4110300</v>
      </c>
      <c r="E11" s="34">
        <v>2740062</v>
      </c>
      <c r="F11" s="34">
        <v>5760086</v>
      </c>
      <c r="G11" s="35">
        <v>9096485</v>
      </c>
      <c r="H11" s="36">
        <v>16086659</v>
      </c>
      <c r="I11" s="37">
        <v>38938026</v>
      </c>
      <c r="J11" s="37">
        <v>50465651</v>
      </c>
      <c r="K11" s="37">
        <v>66391044</v>
      </c>
      <c r="L11" s="34">
        <v>5760086</v>
      </c>
      <c r="M11" s="34">
        <v>3825133</v>
      </c>
      <c r="N11" s="35">
        <v>66391044</v>
      </c>
      <c r="O11" s="36">
        <v>64780607</v>
      </c>
      <c r="P11" s="34">
        <v>3825133</v>
      </c>
      <c r="Q11" s="34">
        <v>3321946</v>
      </c>
      <c r="R11" s="35">
        <v>64780607</v>
      </c>
      <c r="S11" s="36">
        <v>-144604212</v>
      </c>
      <c r="T11" s="354">
        <v>3321946</v>
      </c>
      <c r="U11" s="354">
        <v>6242138</v>
      </c>
      <c r="V11" s="355">
        <v>61092922</v>
      </c>
      <c r="W11" s="356">
        <v>183610454</v>
      </c>
      <c r="X11" s="34">
        <v>9125095</v>
      </c>
      <c r="Y11" s="34">
        <v>13927670</v>
      </c>
      <c r="Z11" s="35">
        <v>193063625</v>
      </c>
      <c r="AA11" s="674">
        <v>221459981</v>
      </c>
      <c r="AB11" s="634">
        <v>16804960</v>
      </c>
      <c r="AC11" s="634">
        <v>16350497</v>
      </c>
      <c r="AD11" s="634">
        <v>181309548</v>
      </c>
      <c r="AE11" s="689">
        <v>99321498</v>
      </c>
      <c r="AF11" s="658">
        <v>10348655</v>
      </c>
      <c r="AG11" s="658">
        <v>9328059</v>
      </c>
      <c r="AH11" s="606">
        <v>8293164</v>
      </c>
      <c r="AI11" s="691">
        <v>8097635</v>
      </c>
      <c r="AJ11" s="641">
        <v>79704965</v>
      </c>
      <c r="AK11" s="641">
        <v>278264130</v>
      </c>
      <c r="AL11" s="641">
        <v>48281900</v>
      </c>
      <c r="AM11" s="641">
        <v>10876565</v>
      </c>
      <c r="AN11" s="641">
        <v>3048827495</v>
      </c>
      <c r="AO11" s="607">
        <v>9024779254</v>
      </c>
      <c r="AP11" s="641">
        <v>6224990</v>
      </c>
      <c r="AQ11" s="641">
        <v>6580974</v>
      </c>
      <c r="AR11" s="707"/>
      <c r="AS11" s="641"/>
      <c r="AT11" s="641">
        <v>329489985</v>
      </c>
      <c r="AU11" s="707">
        <v>483239209</v>
      </c>
      <c r="AV11" s="607">
        <v>0</v>
      </c>
      <c r="AW11" s="642">
        <v>0</v>
      </c>
      <c r="AX11" s="641">
        <v>14648289</v>
      </c>
      <c r="AY11" s="641">
        <v>2563908</v>
      </c>
    </row>
    <row r="12" spans="1:53" ht="15.75" thickBot="1" x14ac:dyDescent="0.3">
      <c r="A12" s="6" t="s">
        <v>14</v>
      </c>
      <c r="B12" s="34">
        <v>0</v>
      </c>
      <c r="C12" s="34">
        <v>515906.446</v>
      </c>
      <c r="D12" s="34">
        <v>0</v>
      </c>
      <c r="E12" s="34">
        <v>1026827</v>
      </c>
      <c r="F12" s="34"/>
      <c r="G12" s="35">
        <v>0</v>
      </c>
      <c r="H12" s="36">
        <v>0</v>
      </c>
      <c r="I12" s="37">
        <v>0</v>
      </c>
      <c r="J12" s="37"/>
      <c r="K12" s="37"/>
      <c r="L12" s="34"/>
      <c r="M12" s="34">
        <v>665049</v>
      </c>
      <c r="N12" s="35"/>
      <c r="O12" s="36">
        <v>0</v>
      </c>
      <c r="P12" s="56">
        <v>665049</v>
      </c>
      <c r="Q12" s="56"/>
      <c r="R12" s="57">
        <v>0</v>
      </c>
      <c r="S12" s="58">
        <v>0</v>
      </c>
      <c r="T12" s="357"/>
      <c r="U12" s="357"/>
      <c r="V12" s="358">
        <v>0</v>
      </c>
      <c r="W12" s="359">
        <v>0</v>
      </c>
      <c r="X12" s="56"/>
      <c r="Y12" s="56"/>
      <c r="Z12" s="57">
        <v>0</v>
      </c>
      <c r="AA12" s="678">
        <v>0</v>
      </c>
      <c r="AB12" s="634"/>
      <c r="AC12" s="634"/>
      <c r="AD12" s="634"/>
      <c r="AE12" s="689">
        <v>0</v>
      </c>
      <c r="AF12" s="605"/>
      <c r="AG12" s="605"/>
      <c r="AH12" s="605"/>
      <c r="AI12" s="605"/>
      <c r="AJ12" s="605"/>
      <c r="AK12" s="605"/>
      <c r="AL12" s="605"/>
      <c r="AM12" s="605"/>
      <c r="AN12" s="605"/>
      <c r="AO12" s="605"/>
      <c r="AP12" s="605"/>
      <c r="AQ12" s="605"/>
      <c r="AR12" s="605"/>
      <c r="AS12" s="605"/>
      <c r="AT12" s="605"/>
      <c r="AU12" s="605"/>
      <c r="AV12" s="605"/>
      <c r="AW12" s="605"/>
      <c r="AX12" s="605"/>
      <c r="AY12" s="605"/>
    </row>
    <row r="13" spans="1:53" ht="15.75" thickBot="1" x14ac:dyDescent="0.3">
      <c r="A13" s="5" t="s">
        <v>15</v>
      </c>
      <c r="B13" s="38">
        <v>0</v>
      </c>
      <c r="C13" s="38">
        <v>8605601.2340000011</v>
      </c>
      <c r="D13" s="38">
        <v>8071952</v>
      </c>
      <c r="E13" s="38">
        <v>9465327</v>
      </c>
      <c r="F13" s="38">
        <v>10869044</v>
      </c>
      <c r="G13" s="39">
        <v>16434817</v>
      </c>
      <c r="H13" s="40">
        <v>32476067</v>
      </c>
      <c r="I13" s="41">
        <v>54113615</v>
      </c>
      <c r="J13" s="41">
        <v>73696193</v>
      </c>
      <c r="K13" s="41">
        <v>85129944</v>
      </c>
      <c r="L13" s="38">
        <v>10869044</v>
      </c>
      <c r="M13" s="38">
        <v>13014249</v>
      </c>
      <c r="N13" s="39">
        <v>85129944</v>
      </c>
      <c r="O13" s="40">
        <v>82538860</v>
      </c>
      <c r="P13" s="291">
        <v>13014249</v>
      </c>
      <c r="Q13" s="291">
        <v>17535659</v>
      </c>
      <c r="R13" s="292">
        <v>82538860</v>
      </c>
      <c r="S13" s="293">
        <v>86432389</v>
      </c>
      <c r="T13" s="360">
        <f>SUM(T10:T12)</f>
        <v>17535659</v>
      </c>
      <c r="U13" s="360">
        <f t="shared" ref="U13:W13" si="1">SUM(U10:U12)</f>
        <v>22023359</v>
      </c>
      <c r="V13" s="360">
        <f>SUM(V10:V12)</f>
        <v>86432389</v>
      </c>
      <c r="W13" s="361">
        <f t="shared" si="1"/>
        <v>215686996</v>
      </c>
      <c r="X13" s="291">
        <v>22474431</v>
      </c>
      <c r="Y13" s="291">
        <v>27726333</v>
      </c>
      <c r="Z13" s="291">
        <v>228467744</v>
      </c>
      <c r="AA13" s="676">
        <v>274170780</v>
      </c>
      <c r="AB13" s="605"/>
      <c r="AC13" s="605"/>
      <c r="AD13" s="605"/>
      <c r="AE13" s="616"/>
      <c r="AF13" s="605"/>
      <c r="AG13" s="605"/>
      <c r="AH13" s="605"/>
      <c r="AI13" s="605"/>
      <c r="AJ13" s="605"/>
      <c r="AK13" s="605"/>
      <c r="AL13" s="605"/>
      <c r="AM13" s="605"/>
      <c r="AN13" s="605"/>
      <c r="AO13" s="605"/>
      <c r="AP13" s="605"/>
      <c r="AQ13" s="605"/>
      <c r="AR13" s="605"/>
      <c r="AS13" s="605"/>
      <c r="AT13" s="605"/>
      <c r="AU13" s="605"/>
      <c r="AV13" s="605"/>
      <c r="AW13" s="605"/>
      <c r="AX13" s="605"/>
      <c r="AY13" s="605"/>
    </row>
    <row r="14" spans="1:53" x14ac:dyDescent="0.25">
      <c r="A14" s="5" t="s">
        <v>16</v>
      </c>
      <c r="B14" s="42"/>
      <c r="C14" s="42"/>
      <c r="D14" s="42"/>
      <c r="E14" s="42"/>
      <c r="F14" s="42"/>
      <c r="G14" s="43"/>
      <c r="H14" s="44"/>
      <c r="I14" s="45"/>
      <c r="J14" s="45"/>
      <c r="K14" s="45"/>
      <c r="L14" s="42"/>
      <c r="M14" s="42"/>
      <c r="N14" s="43"/>
      <c r="O14" s="44"/>
      <c r="P14" s="288"/>
      <c r="Q14" s="288"/>
      <c r="R14" s="289"/>
      <c r="S14" s="290"/>
      <c r="T14" s="362"/>
      <c r="U14" s="362"/>
      <c r="V14" s="363"/>
      <c r="W14" s="364"/>
      <c r="X14" s="288"/>
      <c r="Y14" s="288"/>
      <c r="Z14" s="289"/>
      <c r="AA14" s="677"/>
      <c r="AB14" s="605"/>
      <c r="AC14" s="605"/>
      <c r="AD14" s="605"/>
      <c r="AE14" s="616"/>
      <c r="AF14" s="605"/>
      <c r="AG14" s="605"/>
      <c r="AH14" s="605"/>
      <c r="AI14" s="605"/>
      <c r="AJ14" s="605"/>
      <c r="AK14" s="605"/>
      <c r="AL14" s="605"/>
      <c r="AM14" s="605"/>
      <c r="AN14" s="605"/>
      <c r="AO14" s="605"/>
      <c r="AP14" s="605"/>
      <c r="AQ14" s="605"/>
      <c r="AR14" s="605"/>
      <c r="AS14" s="605"/>
      <c r="AT14" s="605"/>
      <c r="AU14" s="605"/>
      <c r="AV14" s="605"/>
      <c r="AW14" s="605"/>
      <c r="AX14" s="605"/>
      <c r="AY14" s="605"/>
    </row>
    <row r="15" spans="1:53" ht="15.75" thickBot="1" x14ac:dyDescent="0.3">
      <c r="A15" s="9" t="s">
        <v>17</v>
      </c>
      <c r="B15" s="56">
        <v>0</v>
      </c>
      <c r="C15" s="56">
        <v>2400000</v>
      </c>
      <c r="D15" s="56">
        <v>2400000</v>
      </c>
      <c r="E15" s="56">
        <v>2400000</v>
      </c>
      <c r="F15" s="56">
        <v>2400000</v>
      </c>
      <c r="G15" s="57">
        <v>6392220</v>
      </c>
      <c r="H15" s="58">
        <v>6392220</v>
      </c>
      <c r="I15" s="59">
        <v>6392220</v>
      </c>
      <c r="J15" s="59">
        <v>7976640</v>
      </c>
      <c r="K15" s="59">
        <v>7976640</v>
      </c>
      <c r="L15" s="56">
        <v>2400000</v>
      </c>
      <c r="M15" s="56">
        <v>4150000</v>
      </c>
      <c r="N15" s="57">
        <v>7976640</v>
      </c>
      <c r="O15" s="58">
        <v>7976640</v>
      </c>
      <c r="P15" s="56">
        <v>4150000</v>
      </c>
      <c r="Q15" s="56">
        <v>4150000</v>
      </c>
      <c r="R15" s="57">
        <v>7976640</v>
      </c>
      <c r="S15" s="58">
        <v>7976640</v>
      </c>
      <c r="T15" s="357">
        <v>4150000</v>
      </c>
      <c r="U15" s="357">
        <v>4150000</v>
      </c>
      <c r="V15" s="358">
        <v>7976640</v>
      </c>
      <c r="W15" s="359">
        <v>7976640</v>
      </c>
      <c r="X15" s="56">
        <v>4150000</v>
      </c>
      <c r="Y15" s="56">
        <v>4150000</v>
      </c>
      <c r="Z15" s="57">
        <v>7976640</v>
      </c>
      <c r="AA15" s="678">
        <v>7976640</v>
      </c>
      <c r="AB15" s="634">
        <v>6850000</v>
      </c>
      <c r="AC15" s="634">
        <v>6850000</v>
      </c>
      <c r="AD15" s="634">
        <v>7976640</v>
      </c>
      <c r="AE15" s="689">
        <v>9587670</v>
      </c>
      <c r="AF15" s="606">
        <v>5000000</v>
      </c>
      <c r="AG15" s="691">
        <v>5000000</v>
      </c>
      <c r="AH15" s="606">
        <v>5000000</v>
      </c>
      <c r="AI15" s="691">
        <v>5000000</v>
      </c>
      <c r="AJ15" s="641">
        <v>7479681</v>
      </c>
      <c r="AK15" s="641">
        <v>7479681</v>
      </c>
      <c r="AL15" s="641">
        <v>5251548</v>
      </c>
      <c r="AM15" s="641">
        <v>5251548</v>
      </c>
      <c r="AN15" s="707">
        <v>2604329245</v>
      </c>
      <c r="AO15" s="707">
        <v>2604329245</v>
      </c>
      <c r="AP15" s="707">
        <v>368800</v>
      </c>
      <c r="AQ15" s="707">
        <v>368800</v>
      </c>
      <c r="AR15" s="607"/>
      <c r="AS15" s="607"/>
      <c r="AT15" s="707">
        <v>9587670</v>
      </c>
      <c r="AU15" s="707">
        <v>9587670</v>
      </c>
      <c r="AV15" s="642">
        <v>200000000</v>
      </c>
      <c r="AW15" s="642">
        <v>200000000</v>
      </c>
      <c r="AX15" s="641">
        <v>5000000</v>
      </c>
      <c r="AY15" s="641">
        <v>5000000</v>
      </c>
    </row>
    <row r="16" spans="1:53" ht="15.75" thickBot="1" x14ac:dyDescent="0.3">
      <c r="A16" s="14" t="s">
        <v>18</v>
      </c>
      <c r="B16" s="15">
        <v>0</v>
      </c>
      <c r="C16" s="15">
        <v>-423197.63</v>
      </c>
      <c r="D16" s="15">
        <v>543800</v>
      </c>
      <c r="E16" s="15">
        <v>800892</v>
      </c>
      <c r="F16" s="15">
        <v>571606</v>
      </c>
      <c r="G16" s="64">
        <v>-1531293</v>
      </c>
      <c r="H16" s="65">
        <v>-2057453</v>
      </c>
      <c r="I16" s="66">
        <v>726243</v>
      </c>
      <c r="J16" s="66">
        <v>4587994</v>
      </c>
      <c r="K16" s="66">
        <v>2168532</v>
      </c>
      <c r="L16" s="223">
        <v>571606</v>
      </c>
      <c r="M16" s="223">
        <v>424994</v>
      </c>
      <c r="N16" s="224">
        <v>2168532</v>
      </c>
      <c r="O16" s="225">
        <v>1870395</v>
      </c>
      <c r="P16" s="272">
        <v>424994</v>
      </c>
      <c r="Q16" s="272">
        <v>-1736279</v>
      </c>
      <c r="R16" s="281">
        <v>1870395</v>
      </c>
      <c r="S16" s="282">
        <v>2565307</v>
      </c>
      <c r="T16" s="336">
        <v>-1736279</v>
      </c>
      <c r="U16" s="337">
        <v>444763</v>
      </c>
      <c r="V16" s="365">
        <v>2565307</v>
      </c>
      <c r="W16" s="366">
        <v>806158</v>
      </c>
      <c r="X16" s="277">
        <v>-7033</v>
      </c>
      <c r="Y16" s="277">
        <v>-4629067</v>
      </c>
      <c r="Z16" s="451">
        <v>-9206400</v>
      </c>
      <c r="AA16" s="679">
        <v>5953883</v>
      </c>
      <c r="AB16" s="605"/>
      <c r="AC16" s="605"/>
      <c r="AD16" s="605"/>
      <c r="AE16" s="616"/>
      <c r="AF16" s="605"/>
      <c r="AG16" s="605"/>
      <c r="AH16" s="605"/>
      <c r="AI16" s="605"/>
      <c r="AJ16" s="607"/>
      <c r="AK16" s="607"/>
      <c r="AL16" s="607"/>
      <c r="AM16" s="607"/>
      <c r="AN16" s="607"/>
      <c r="AO16" s="607"/>
      <c r="AP16" s="707"/>
      <c r="AQ16" s="641"/>
      <c r="AR16" s="607"/>
      <c r="AS16" s="607"/>
      <c r="AT16" s="642">
        <v>-2599208</v>
      </c>
      <c r="AU16" s="707">
        <v>3565428</v>
      </c>
      <c r="AV16" s="642">
        <v>-538592026</v>
      </c>
      <c r="AW16" s="642">
        <v>-1341959905</v>
      </c>
      <c r="AX16" s="641"/>
      <c r="AY16" s="641"/>
    </row>
    <row r="17" spans="1:51" x14ac:dyDescent="0.25">
      <c r="A17" s="11" t="s">
        <v>19</v>
      </c>
      <c r="B17" s="60">
        <v>0</v>
      </c>
      <c r="C17" s="60">
        <v>-108939.489</v>
      </c>
      <c r="D17" s="60">
        <v>-532137</v>
      </c>
      <c r="E17" s="60">
        <v>11662</v>
      </c>
      <c r="F17" s="60">
        <v>0</v>
      </c>
      <c r="G17" s="61">
        <v>-1219440</v>
      </c>
      <c r="H17" s="62">
        <v>-2750733</v>
      </c>
      <c r="I17" s="63">
        <v>-4808186</v>
      </c>
      <c r="J17" s="63">
        <v>-4081943</v>
      </c>
      <c r="K17" s="63">
        <v>0</v>
      </c>
      <c r="L17" s="60">
        <v>0</v>
      </c>
      <c r="M17" s="60">
        <v>0</v>
      </c>
      <c r="N17" s="61">
        <v>0</v>
      </c>
      <c r="O17" s="62">
        <v>872611</v>
      </c>
      <c r="P17" s="60">
        <v>0</v>
      </c>
      <c r="Q17" s="60">
        <v>0</v>
      </c>
      <c r="R17" s="61">
        <v>872611</v>
      </c>
      <c r="S17" s="62">
        <v>872611</v>
      </c>
      <c r="T17" s="367">
        <v>0</v>
      </c>
      <c r="U17" s="367">
        <v>-1346660</v>
      </c>
      <c r="V17" s="368">
        <v>872611</v>
      </c>
      <c r="W17" s="369">
        <v>872611</v>
      </c>
      <c r="X17" s="60">
        <v>-690742</v>
      </c>
      <c r="Y17" s="60">
        <v>-742252</v>
      </c>
      <c r="Z17" s="61">
        <v>872611</v>
      </c>
      <c r="AA17" s="680">
        <v>-9139948</v>
      </c>
      <c r="AB17" s="634">
        <v>-5022303</v>
      </c>
      <c r="AC17" s="634">
        <v>-6663798</v>
      </c>
      <c r="AD17" s="634">
        <v>6241705</v>
      </c>
      <c r="AE17" s="689">
        <v>9301594</v>
      </c>
      <c r="AF17" s="610">
        <v>-1642394</v>
      </c>
      <c r="AG17" s="610">
        <v>-6318115</v>
      </c>
      <c r="AH17" s="692">
        <v>2848189</v>
      </c>
      <c r="AI17" s="692">
        <v>3047555</v>
      </c>
      <c r="AJ17" s="607">
        <v>-162300215</v>
      </c>
      <c r="AK17" s="607">
        <v>-192777623</v>
      </c>
      <c r="AL17" s="607">
        <v>-1219936424</v>
      </c>
      <c r="AM17" s="607">
        <v>-1642617271</v>
      </c>
      <c r="AN17" s="607">
        <v>-3399531622</v>
      </c>
      <c r="AO17" s="607">
        <v>-4200745209</v>
      </c>
      <c r="AP17" s="607">
        <v>-62079399</v>
      </c>
      <c r="AQ17" s="607">
        <v>-50222741</v>
      </c>
      <c r="AR17" s="607"/>
      <c r="AS17" s="607"/>
      <c r="AT17" s="707"/>
      <c r="AU17" s="707"/>
      <c r="AV17" s="607">
        <v>0</v>
      </c>
      <c r="AW17" s="642">
        <v>-538592026</v>
      </c>
      <c r="AX17" s="642">
        <v>-5649939</v>
      </c>
      <c r="AY17" s="642">
        <v>-5030274</v>
      </c>
    </row>
    <row r="18" spans="1:51" ht="15.75" thickBot="1" x14ac:dyDescent="0.3">
      <c r="A18" s="6" t="s">
        <v>20</v>
      </c>
      <c r="B18" s="34">
        <v>0</v>
      </c>
      <c r="C18" s="34">
        <v>526322.64300000004</v>
      </c>
      <c r="D18" s="34">
        <v>526322</v>
      </c>
      <c r="E18" s="34">
        <v>526323</v>
      </c>
      <c r="F18" s="34">
        <v>1338878</v>
      </c>
      <c r="G18" s="35">
        <v>3454274</v>
      </c>
      <c r="H18" s="36">
        <v>3454274</v>
      </c>
      <c r="I18" s="37">
        <v>8898645</v>
      </c>
      <c r="J18" s="37">
        <v>21400629</v>
      </c>
      <c r="K18" s="37">
        <v>21451234</v>
      </c>
      <c r="L18" s="34">
        <v>1338878</v>
      </c>
      <c r="M18" s="34">
        <v>160483</v>
      </c>
      <c r="N18" s="35">
        <v>21451234</v>
      </c>
      <c r="O18" s="36">
        <v>21668087</v>
      </c>
      <c r="P18" s="56">
        <v>160483</v>
      </c>
      <c r="Q18" s="56">
        <v>2113292</v>
      </c>
      <c r="R18" s="57">
        <v>21668087</v>
      </c>
      <c r="S18" s="58">
        <v>23166032</v>
      </c>
      <c r="T18" s="357">
        <v>2113292</v>
      </c>
      <c r="U18" s="357">
        <v>33408728</v>
      </c>
      <c r="V18" s="358">
        <v>23166032</v>
      </c>
      <c r="W18" s="359">
        <v>36910799</v>
      </c>
      <c r="X18" s="56">
        <v>31880912</v>
      </c>
      <c r="Y18" s="56">
        <v>32090440</v>
      </c>
      <c r="Z18" s="57">
        <v>1924612</v>
      </c>
      <c r="AA18" s="678">
        <v>2358320</v>
      </c>
      <c r="AB18" s="634">
        <f>240334+31837378</f>
        <v>32077712</v>
      </c>
      <c r="AC18" s="634">
        <f>240334+31837377</f>
        <v>32077711</v>
      </c>
      <c r="AD18" s="634">
        <f>14284854+4987356-3643615</f>
        <v>15628595</v>
      </c>
      <c r="AE18" s="689">
        <f>35765254+105444159+5368729-10950367</f>
        <v>135627775</v>
      </c>
      <c r="AF18" s="605"/>
      <c r="AG18" s="605"/>
      <c r="AH18" s="605"/>
      <c r="AI18" s="605"/>
      <c r="AJ18" s="614">
        <v>9649653</v>
      </c>
      <c r="AK18" s="614">
        <v>-20923233</v>
      </c>
      <c r="AL18" s="614">
        <v>-76230223</v>
      </c>
      <c r="AM18" s="614">
        <v>-498911070</v>
      </c>
      <c r="AN18" s="614">
        <v>-2815064185</v>
      </c>
      <c r="AO18" s="614">
        <v>-4051010431</v>
      </c>
      <c r="AP18" s="614">
        <v>-59230329</v>
      </c>
      <c r="AQ18" s="614">
        <v>-59827786</v>
      </c>
      <c r="AR18" s="614">
        <v>0</v>
      </c>
      <c r="AS18" s="614">
        <v>0</v>
      </c>
      <c r="AT18" s="614">
        <v>168090767</v>
      </c>
      <c r="AU18" s="614">
        <v>118443062</v>
      </c>
      <c r="AV18" s="614">
        <v>-538592026</v>
      </c>
      <c r="AW18" s="614">
        <v>-1880551931</v>
      </c>
      <c r="AX18" s="614">
        <v>690096</v>
      </c>
      <c r="AY18" s="614">
        <v>1309761</v>
      </c>
    </row>
    <row r="19" spans="1:51" ht="15.75" thickBot="1" x14ac:dyDescent="0.3">
      <c r="A19" s="5" t="s">
        <v>21</v>
      </c>
      <c r="B19" s="38">
        <v>0</v>
      </c>
      <c r="C19" s="38">
        <v>2394185.5240000002</v>
      </c>
      <c r="D19" s="38">
        <v>2937985</v>
      </c>
      <c r="E19" s="38">
        <v>3738877</v>
      </c>
      <c r="F19" s="38">
        <v>4310484</v>
      </c>
      <c r="G19" s="39">
        <v>7095761</v>
      </c>
      <c r="H19" s="40">
        <v>5038308</v>
      </c>
      <c r="I19" s="41">
        <v>11208922</v>
      </c>
      <c r="J19" s="41">
        <v>29883320</v>
      </c>
      <c r="K19" s="41">
        <v>31596406</v>
      </c>
      <c r="L19" s="38">
        <v>4310484</v>
      </c>
      <c r="M19" s="38">
        <v>4735477</v>
      </c>
      <c r="N19" s="39">
        <v>31596406</v>
      </c>
      <c r="O19" s="40">
        <v>32387733</v>
      </c>
      <c r="P19" s="291">
        <v>4735477</v>
      </c>
      <c r="Q19" s="291">
        <v>4527013</v>
      </c>
      <c r="R19" s="292">
        <v>32387733</v>
      </c>
      <c r="S19" s="293">
        <v>34580590</v>
      </c>
      <c r="T19" s="360">
        <f>SUM(T15:T18)</f>
        <v>4527013</v>
      </c>
      <c r="U19" s="360">
        <f>SUM(U15:U18)</f>
        <v>36656831</v>
      </c>
      <c r="V19" s="360">
        <f>SUM(V15:V18)</f>
        <v>34580590</v>
      </c>
      <c r="W19" s="361">
        <f>SUM(W15:W18)</f>
        <v>46566208</v>
      </c>
      <c r="X19" s="291">
        <v>35333137</v>
      </c>
      <c r="Y19" s="291">
        <v>30869121</v>
      </c>
      <c r="Z19" s="291">
        <v>1567463</v>
      </c>
      <c r="AA19" s="676">
        <v>7148895</v>
      </c>
      <c r="AB19" s="605"/>
      <c r="AC19" s="605"/>
      <c r="AD19" s="605"/>
      <c r="AE19" s="616"/>
      <c r="AF19" s="605"/>
      <c r="AG19" s="605"/>
      <c r="AH19" s="605"/>
      <c r="AI19" s="605"/>
      <c r="AJ19" s="605"/>
      <c r="AK19" s="605"/>
      <c r="AL19" s="605"/>
      <c r="AM19" s="605"/>
      <c r="AN19" s="605"/>
      <c r="AO19" s="605"/>
      <c r="AP19" s="605"/>
      <c r="AQ19" s="605"/>
      <c r="AR19" s="605"/>
      <c r="AS19" s="605"/>
      <c r="AT19" s="605"/>
      <c r="AU19" s="605"/>
      <c r="AV19" s="605"/>
      <c r="AW19" s="605"/>
      <c r="AX19" s="605"/>
      <c r="AY19" s="605"/>
    </row>
    <row r="20" spans="1:51" ht="15.75" thickBot="1" x14ac:dyDescent="0.3">
      <c r="A20" s="5" t="s">
        <v>22</v>
      </c>
      <c r="B20" s="38">
        <v>0</v>
      </c>
      <c r="C20" s="38">
        <v>10999786.758000001</v>
      </c>
      <c r="D20" s="38">
        <v>11009937</v>
      </c>
      <c r="E20" s="38">
        <v>13204204</v>
      </c>
      <c r="F20" s="38">
        <v>15179528</v>
      </c>
      <c r="G20" s="39">
        <v>23530578</v>
      </c>
      <c r="H20" s="40">
        <v>37514375</v>
      </c>
      <c r="I20" s="41">
        <v>65322537</v>
      </c>
      <c r="J20" s="41">
        <v>103579513</v>
      </c>
      <c r="K20" s="41">
        <v>116726350</v>
      </c>
      <c r="L20" s="38">
        <v>15179528</v>
      </c>
      <c r="M20" s="38">
        <v>17749726</v>
      </c>
      <c r="N20" s="39">
        <v>116726350</v>
      </c>
      <c r="O20" s="40">
        <v>114926593</v>
      </c>
      <c r="P20" s="291">
        <v>17749726</v>
      </c>
      <c r="Q20" s="291">
        <v>22062672</v>
      </c>
      <c r="R20" s="292">
        <v>114926593</v>
      </c>
      <c r="S20" s="293">
        <v>121012979</v>
      </c>
      <c r="T20" s="360">
        <f>+T19+T13</f>
        <v>22062672</v>
      </c>
      <c r="U20" s="360">
        <f>+U19+U13</f>
        <v>58680190</v>
      </c>
      <c r="V20" s="360">
        <f>+V19+V13</f>
        <v>121012979</v>
      </c>
      <c r="W20" s="361">
        <f>+W19+W13</f>
        <v>262253204</v>
      </c>
      <c r="X20" s="291">
        <v>57807568</v>
      </c>
      <c r="Y20" s="291">
        <v>58595454</v>
      </c>
      <c r="Z20" s="291">
        <v>230035207</v>
      </c>
      <c r="AA20" s="676">
        <v>281319675</v>
      </c>
      <c r="AB20" s="605"/>
      <c r="AC20" s="605"/>
      <c r="AD20" s="605"/>
      <c r="AE20" s="616"/>
      <c r="AF20" s="605"/>
      <c r="AG20" s="605"/>
      <c r="AH20" s="605"/>
      <c r="AI20" s="605"/>
      <c r="AJ20" s="605"/>
      <c r="AK20" s="605"/>
      <c r="AL20" s="605"/>
      <c r="AM20" s="605"/>
      <c r="AN20" s="605"/>
      <c r="AO20" s="605"/>
      <c r="AP20" s="605"/>
      <c r="AQ20" s="605"/>
      <c r="AR20" s="605"/>
      <c r="AS20" s="605"/>
      <c r="AT20" s="605"/>
      <c r="AU20" s="605"/>
      <c r="AV20" s="605"/>
      <c r="AW20" s="605"/>
      <c r="AX20" s="605"/>
      <c r="AY20" s="605"/>
    </row>
    <row r="21" spans="1:51" x14ac:dyDescent="0.25">
      <c r="A21" s="5" t="s">
        <v>23</v>
      </c>
      <c r="B21" s="34"/>
      <c r="C21" s="34"/>
      <c r="D21" s="34"/>
      <c r="E21" s="34"/>
      <c r="F21" s="34"/>
      <c r="G21" s="35"/>
      <c r="H21" s="36"/>
      <c r="I21" s="37"/>
      <c r="J21" s="37"/>
      <c r="K21" s="37"/>
      <c r="L21" s="34"/>
      <c r="M21" s="34"/>
      <c r="N21" s="35"/>
      <c r="O21" s="36"/>
      <c r="P21" s="60"/>
      <c r="Q21" s="60"/>
      <c r="R21" s="61"/>
      <c r="S21" s="62"/>
      <c r="T21" s="367"/>
      <c r="U21" s="367"/>
      <c r="V21" s="368"/>
      <c r="W21" s="369"/>
      <c r="X21" s="60"/>
      <c r="Y21" s="60"/>
      <c r="Z21" s="61"/>
      <c r="AA21" s="680"/>
      <c r="AB21" s="605"/>
      <c r="AC21" s="605"/>
      <c r="AD21" s="605"/>
      <c r="AE21" s="616"/>
      <c r="AF21" s="605"/>
      <c r="AG21" s="605"/>
      <c r="AH21" s="605"/>
      <c r="AI21" s="605"/>
      <c r="AJ21" s="605"/>
      <c r="AK21" s="605"/>
      <c r="AL21" s="605"/>
      <c r="AM21" s="605"/>
      <c r="AN21" s="605"/>
      <c r="AO21" s="605"/>
      <c r="AP21" s="605"/>
      <c r="AQ21" s="605"/>
      <c r="AR21" s="605"/>
      <c r="AS21" s="605"/>
      <c r="AT21" s="605"/>
      <c r="AU21" s="605"/>
      <c r="AV21" s="605"/>
      <c r="AW21" s="605"/>
      <c r="AX21" s="605"/>
      <c r="AY21" s="605"/>
    </row>
    <row r="22" spans="1:51" x14ac:dyDescent="0.25">
      <c r="A22" s="5" t="s">
        <v>24</v>
      </c>
      <c r="B22" s="42"/>
      <c r="C22" s="42"/>
      <c r="D22" s="42"/>
      <c r="E22" s="42"/>
      <c r="F22" s="42"/>
      <c r="G22" s="43"/>
      <c r="H22" s="44"/>
      <c r="I22" s="45"/>
      <c r="J22" s="45"/>
      <c r="K22" s="45"/>
      <c r="L22" s="42"/>
      <c r="M22" s="42"/>
      <c r="N22" s="43"/>
      <c r="O22" s="44"/>
      <c r="P22" s="42"/>
      <c r="Q22" s="42"/>
      <c r="R22" s="43"/>
      <c r="S22" s="44"/>
      <c r="T22" s="370"/>
      <c r="U22" s="370"/>
      <c r="V22" s="371"/>
      <c r="W22" s="372"/>
      <c r="X22" s="42"/>
      <c r="Y22" s="42"/>
      <c r="Z22" s="43"/>
      <c r="AA22" s="681"/>
      <c r="AB22" s="605"/>
      <c r="AC22" s="605"/>
      <c r="AD22" s="605"/>
      <c r="AE22" s="616"/>
      <c r="AF22" s="605"/>
      <c r="AG22" s="605"/>
      <c r="AH22" s="605"/>
      <c r="AI22" s="605"/>
      <c r="AJ22" s="605"/>
      <c r="AK22" s="605"/>
      <c r="AL22" s="605"/>
      <c r="AM22" s="605"/>
      <c r="AN22" s="605"/>
      <c r="AO22" s="605"/>
      <c r="AP22" s="605"/>
      <c r="AQ22" s="605"/>
      <c r="AR22" s="605"/>
      <c r="AS22" s="605"/>
      <c r="AT22" s="605"/>
      <c r="AU22" s="605"/>
      <c r="AV22" s="605"/>
      <c r="AW22" s="605"/>
      <c r="AX22" s="605"/>
      <c r="AY22" s="605"/>
    </row>
    <row r="23" spans="1:51" x14ac:dyDescent="0.25">
      <c r="A23" s="7" t="s">
        <v>25</v>
      </c>
      <c r="B23" s="34">
        <v>0</v>
      </c>
      <c r="C23" s="34">
        <v>28170787.846000001</v>
      </c>
      <c r="D23" s="34">
        <v>33435495</v>
      </c>
      <c r="E23" s="34">
        <v>43135062</v>
      </c>
      <c r="F23" s="34">
        <v>45967148</v>
      </c>
      <c r="G23" s="35">
        <v>23158812</v>
      </c>
      <c r="H23" s="36">
        <v>37261806</v>
      </c>
      <c r="I23" s="37">
        <v>53706303</v>
      </c>
      <c r="J23" s="37">
        <v>87630783</v>
      </c>
      <c r="K23" s="37">
        <v>102525325</v>
      </c>
      <c r="L23" s="34">
        <v>45967148</v>
      </c>
      <c r="M23" s="34">
        <v>50044828</v>
      </c>
      <c r="N23" s="35">
        <v>102525325</v>
      </c>
      <c r="O23" s="36">
        <v>119666659</v>
      </c>
      <c r="P23" s="34">
        <v>50044828</v>
      </c>
      <c r="Q23" s="34">
        <v>49913073</v>
      </c>
      <c r="R23" s="35">
        <v>119666659</v>
      </c>
      <c r="S23" s="36">
        <v>128890185</v>
      </c>
      <c r="T23" s="354">
        <v>49913073</v>
      </c>
      <c r="U23" s="354">
        <v>55811899</v>
      </c>
      <c r="V23" s="355">
        <v>128890185</v>
      </c>
      <c r="W23" s="356">
        <v>140984831</v>
      </c>
      <c r="X23" s="34">
        <v>59412601</v>
      </c>
      <c r="Y23" s="34">
        <v>51124797</v>
      </c>
      <c r="Z23" s="35">
        <v>140984831</v>
      </c>
      <c r="AA23" s="674">
        <v>158898923</v>
      </c>
      <c r="AB23" s="634">
        <v>44775093</v>
      </c>
      <c r="AC23" s="634">
        <v>40977190</v>
      </c>
      <c r="AD23" s="634">
        <f>185007817+1172943</f>
        <v>186180760</v>
      </c>
      <c r="AE23" s="689">
        <f>234779734+7046885</f>
        <v>241826619</v>
      </c>
      <c r="AF23" s="693">
        <v>71349269</v>
      </c>
      <c r="AG23" s="694">
        <v>37465973</v>
      </c>
      <c r="AH23" s="606">
        <v>10842980</v>
      </c>
      <c r="AI23" s="695">
        <v>5272329</v>
      </c>
      <c r="AJ23" s="607">
        <v>391454244</v>
      </c>
      <c r="AK23" s="607">
        <v>658117553</v>
      </c>
      <c r="AL23" s="607">
        <v>927377776</v>
      </c>
      <c r="AM23" s="607">
        <v>1712904569</v>
      </c>
      <c r="AN23" s="607">
        <v>4388774448</v>
      </c>
      <c r="AO23" s="607">
        <v>11260338556</v>
      </c>
      <c r="AP23" s="607">
        <v>120595436</v>
      </c>
      <c r="AQ23" s="607">
        <v>195473514</v>
      </c>
      <c r="AR23" s="641"/>
      <c r="AS23" s="641"/>
      <c r="AT23" s="607">
        <f>317550795</f>
        <v>317550795</v>
      </c>
      <c r="AU23" s="607">
        <v>493702641</v>
      </c>
      <c r="AV23" s="607"/>
      <c r="AW23" s="708"/>
      <c r="AX23" s="642">
        <v>76987330</v>
      </c>
      <c r="AY23" s="642">
        <v>100523034</v>
      </c>
    </row>
    <row r="24" spans="1:51" ht="15.75" thickBot="1" x14ac:dyDescent="0.3">
      <c r="A24" s="7" t="s">
        <v>26</v>
      </c>
      <c r="B24" s="34">
        <v>0</v>
      </c>
      <c r="C24" s="34">
        <v>984866.56700000004</v>
      </c>
      <c r="D24" s="34">
        <v>703597</v>
      </c>
      <c r="E24" s="34">
        <v>482093</v>
      </c>
      <c r="F24" s="34">
        <v>914063</v>
      </c>
      <c r="G24" s="35">
        <v>158716</v>
      </c>
      <c r="H24" s="36">
        <v>544821</v>
      </c>
      <c r="I24" s="37">
        <v>-2349071</v>
      </c>
      <c r="J24" s="37"/>
      <c r="K24" s="37"/>
      <c r="L24" s="34">
        <v>914063</v>
      </c>
      <c r="M24" s="34">
        <v>1235943</v>
      </c>
      <c r="N24" s="35"/>
      <c r="O24" s="36"/>
      <c r="P24" s="56">
        <v>1235943</v>
      </c>
      <c r="Q24" s="56">
        <v>1049168</v>
      </c>
      <c r="R24" s="57"/>
      <c r="S24" s="58">
        <v>309608</v>
      </c>
      <c r="T24" s="357">
        <v>1049168</v>
      </c>
      <c r="U24" s="357">
        <v>5327407</v>
      </c>
      <c r="V24" s="358"/>
      <c r="W24" s="359"/>
      <c r="X24" s="56">
        <v>1688710</v>
      </c>
      <c r="Y24" s="56">
        <v>3647803</v>
      </c>
      <c r="Z24" s="57">
        <v>715003</v>
      </c>
      <c r="AA24" s="678">
        <v>755147</v>
      </c>
      <c r="AB24" s="634">
        <v>3753702</v>
      </c>
      <c r="AC24" s="634">
        <v>2542641</v>
      </c>
      <c r="AD24" s="634"/>
      <c r="AE24" s="689"/>
      <c r="AF24" s="605"/>
      <c r="AG24" s="605"/>
      <c r="AH24" s="605"/>
      <c r="AI24" s="605"/>
      <c r="AJ24" s="614">
        <v>0</v>
      </c>
      <c r="AK24" s="614">
        <v>7946681</v>
      </c>
      <c r="AL24" s="614">
        <v>74075888</v>
      </c>
      <c r="AM24" s="614">
        <v>71113322</v>
      </c>
      <c r="AN24" s="614">
        <v>3209914316</v>
      </c>
      <c r="AO24" s="614">
        <v>197316722</v>
      </c>
      <c r="AP24" s="614">
        <v>10007515</v>
      </c>
      <c r="AQ24" s="614">
        <v>4173155</v>
      </c>
      <c r="AR24" s="614"/>
      <c r="AS24" s="614"/>
      <c r="AT24" s="614">
        <v>28208978</v>
      </c>
      <c r="AU24" s="614">
        <v>30658756</v>
      </c>
      <c r="AV24" s="614">
        <v>316869968</v>
      </c>
      <c r="AW24" s="614">
        <v>1695087721</v>
      </c>
      <c r="AX24" s="614">
        <v>408704</v>
      </c>
      <c r="AY24" s="614">
        <v>470120</v>
      </c>
    </row>
    <row r="25" spans="1:51" ht="15.75" thickBot="1" x14ac:dyDescent="0.3">
      <c r="A25" s="5" t="s">
        <v>27</v>
      </c>
      <c r="B25" s="38">
        <v>0</v>
      </c>
      <c r="C25" s="38">
        <v>29155654.413000003</v>
      </c>
      <c r="D25" s="38">
        <v>34139092</v>
      </c>
      <c r="E25" s="38">
        <v>43617155</v>
      </c>
      <c r="F25" s="38">
        <v>46881211</v>
      </c>
      <c r="G25" s="39">
        <v>23317528</v>
      </c>
      <c r="H25" s="40">
        <v>37806627</v>
      </c>
      <c r="I25" s="41">
        <v>51357232</v>
      </c>
      <c r="J25" s="41">
        <v>87630783</v>
      </c>
      <c r="K25" s="41">
        <v>102525325</v>
      </c>
      <c r="L25" s="38">
        <v>46881211</v>
      </c>
      <c r="M25" s="38">
        <v>51280771</v>
      </c>
      <c r="N25" s="39">
        <v>102525325</v>
      </c>
      <c r="O25" s="40">
        <v>119666659</v>
      </c>
      <c r="P25" s="291">
        <v>51280771</v>
      </c>
      <c r="Q25" s="291">
        <v>50962241</v>
      </c>
      <c r="R25" s="292">
        <v>119666659</v>
      </c>
      <c r="S25" s="293">
        <v>129199793</v>
      </c>
      <c r="T25" s="360">
        <v>50962241</v>
      </c>
      <c r="U25" s="360">
        <f>SUM(U23:U24)</f>
        <v>61139306</v>
      </c>
      <c r="V25" s="360">
        <f>SUM(V23:V24)</f>
        <v>128890185</v>
      </c>
      <c r="W25" s="360">
        <f>SUM(W23:W24)</f>
        <v>140984831</v>
      </c>
      <c r="X25" s="291">
        <v>61101311</v>
      </c>
      <c r="Y25" s="291">
        <v>54772600</v>
      </c>
      <c r="Z25" s="291">
        <v>141699834</v>
      </c>
      <c r="AA25" s="682">
        <v>159654070</v>
      </c>
      <c r="AB25" s="605"/>
      <c r="AC25" s="605"/>
      <c r="AD25" s="605"/>
      <c r="AE25" s="616"/>
      <c r="AF25" s="605"/>
      <c r="AG25" s="605"/>
      <c r="AH25" s="605"/>
      <c r="AI25" s="605"/>
      <c r="AJ25" s="605"/>
      <c r="AK25" s="605"/>
      <c r="AL25" s="605"/>
      <c r="AM25" s="605"/>
      <c r="AN25" s="605"/>
      <c r="AO25" s="605"/>
      <c r="AP25" s="605"/>
      <c r="AQ25" s="605"/>
      <c r="AR25" s="605"/>
      <c r="AS25" s="605"/>
      <c r="AT25" s="605"/>
      <c r="AU25" s="605"/>
      <c r="AV25" s="605"/>
      <c r="AW25" s="605"/>
      <c r="AX25" s="605"/>
      <c r="AY25" s="605"/>
    </row>
    <row r="26" spans="1:51" x14ac:dyDescent="0.25">
      <c r="A26" s="5" t="s">
        <v>28</v>
      </c>
      <c r="B26" s="42"/>
      <c r="C26" s="42"/>
      <c r="D26" s="42"/>
      <c r="E26" s="42"/>
      <c r="F26" s="42"/>
      <c r="G26" s="43"/>
      <c r="H26" s="44"/>
      <c r="I26" s="45"/>
      <c r="J26" s="45"/>
      <c r="K26" s="45"/>
      <c r="L26" s="42"/>
      <c r="M26" s="42"/>
      <c r="N26" s="43"/>
      <c r="O26" s="44"/>
      <c r="P26" s="288"/>
      <c r="Q26" s="288"/>
      <c r="R26" s="289"/>
      <c r="S26" s="290"/>
      <c r="T26" s="362"/>
      <c r="U26" s="362"/>
      <c r="V26" s="363"/>
      <c r="W26" s="364"/>
      <c r="X26" s="288"/>
      <c r="Y26" s="288"/>
      <c r="Z26" s="289"/>
      <c r="AA26" s="677"/>
      <c r="AB26" s="605"/>
      <c r="AC26" s="605"/>
      <c r="AD26" s="605"/>
      <c r="AE26" s="616"/>
      <c r="AF26" s="605"/>
      <c r="AG26" s="605"/>
      <c r="AH26" s="605"/>
      <c r="AI26" s="605"/>
      <c r="AJ26" s="605"/>
      <c r="AK26" s="605"/>
      <c r="AL26" s="605"/>
      <c r="AM26" s="605"/>
      <c r="AN26" s="605"/>
      <c r="AO26" s="605"/>
      <c r="AP26" s="605"/>
      <c r="AQ26" s="605"/>
      <c r="AR26" s="605"/>
      <c r="AS26" s="605"/>
      <c r="AT26" s="605"/>
      <c r="AU26" s="605"/>
      <c r="AV26" s="605"/>
      <c r="AW26" s="605"/>
      <c r="AX26" s="605"/>
      <c r="AY26" s="605"/>
    </row>
    <row r="27" spans="1:51" x14ac:dyDescent="0.25">
      <c r="A27" s="6" t="s">
        <v>29</v>
      </c>
      <c r="B27" s="34">
        <v>0</v>
      </c>
      <c r="C27" s="34">
        <v>27504542.109999999</v>
      </c>
      <c r="D27" s="34">
        <v>31972541</v>
      </c>
      <c r="E27" s="34">
        <v>40771077</v>
      </c>
      <c r="F27" s="34">
        <v>44092099</v>
      </c>
      <c r="G27" s="35">
        <v>24356789</v>
      </c>
      <c r="H27" s="36">
        <v>37442621</v>
      </c>
      <c r="I27" s="37">
        <v>50546668</v>
      </c>
      <c r="J27" s="37">
        <v>75106600</v>
      </c>
      <c r="K27" s="37">
        <v>87929483</v>
      </c>
      <c r="L27" s="34">
        <v>44092099</v>
      </c>
      <c r="M27" s="34">
        <v>48600950</v>
      </c>
      <c r="N27" s="35">
        <v>87929483</v>
      </c>
      <c r="O27" s="36">
        <v>104706745</v>
      </c>
      <c r="P27" s="34">
        <v>48600950</v>
      </c>
      <c r="Q27" s="34">
        <v>49196299</v>
      </c>
      <c r="R27" s="35">
        <v>104706745</v>
      </c>
      <c r="S27" s="36">
        <v>113344447</v>
      </c>
      <c r="T27" s="354">
        <v>49196299</v>
      </c>
      <c r="U27" s="354">
        <v>55260677</v>
      </c>
      <c r="V27" s="355">
        <v>75312619</v>
      </c>
      <c r="W27" s="356">
        <v>77483147</v>
      </c>
      <c r="X27" s="56">
        <v>55208745</v>
      </c>
      <c r="Y27" s="56">
        <v>53057771</v>
      </c>
      <c r="Z27" s="36">
        <v>124168588</v>
      </c>
      <c r="AA27" s="683">
        <v>127252993</v>
      </c>
      <c r="AB27" s="634">
        <f>35843021+10804496</f>
        <v>46647517</v>
      </c>
      <c r="AC27" s="634">
        <f>33543620+9723000</f>
        <v>43266620</v>
      </c>
      <c r="AD27" s="634">
        <f>137381028+9052438+6929706</f>
        <v>153363172</v>
      </c>
      <c r="AE27" s="689">
        <f>190052612+12123455+8544424</f>
        <v>210720491</v>
      </c>
      <c r="AF27" s="612">
        <v>9161650</v>
      </c>
      <c r="AG27" s="612">
        <v>5814568</v>
      </c>
      <c r="AH27" s="612">
        <v>1296113</v>
      </c>
      <c r="AI27" s="612">
        <v>708233</v>
      </c>
      <c r="AJ27" s="614">
        <v>352409751</v>
      </c>
      <c r="AK27" s="614">
        <v>690488679</v>
      </c>
      <c r="AL27" s="614">
        <v>1084271899</v>
      </c>
      <c r="AM27" s="614">
        <v>2148631710</v>
      </c>
      <c r="AN27" s="614">
        <v>8751637328</v>
      </c>
      <c r="AO27" s="614">
        <v>11516997208</v>
      </c>
      <c r="AP27" s="614">
        <v>175621699</v>
      </c>
      <c r="AQ27" s="614">
        <v>182683711</v>
      </c>
      <c r="AR27" s="614">
        <v>0</v>
      </c>
      <c r="AS27" s="614">
        <v>0</v>
      </c>
      <c r="AT27" s="614">
        <v>312466317</v>
      </c>
      <c r="AU27" s="614">
        <v>462781900</v>
      </c>
      <c r="AV27" s="614">
        <v>525775935</v>
      </c>
      <c r="AW27" s="614">
        <v>2611835234</v>
      </c>
      <c r="AX27" s="614">
        <v>67249298</v>
      </c>
      <c r="AY27" s="614">
        <v>83005374</v>
      </c>
    </row>
    <row r="28" spans="1:51" x14ac:dyDescent="0.25">
      <c r="A28" s="6" t="s">
        <v>30</v>
      </c>
      <c r="B28" s="34">
        <v>0</v>
      </c>
      <c r="C28" s="34">
        <v>1972430.7919999999</v>
      </c>
      <c r="D28" s="34">
        <v>1281199</v>
      </c>
      <c r="E28" s="34">
        <v>1545196</v>
      </c>
      <c r="F28" s="34">
        <v>1788124</v>
      </c>
      <c r="G28" s="35">
        <v>492032</v>
      </c>
      <c r="H28" s="36">
        <v>2421459</v>
      </c>
      <c r="I28" s="37">
        <v>0</v>
      </c>
      <c r="J28" s="37">
        <v>7852018</v>
      </c>
      <c r="K28" s="37">
        <v>11183378</v>
      </c>
      <c r="L28" s="34">
        <v>1788124</v>
      </c>
      <c r="M28" s="34">
        <v>1902726</v>
      </c>
      <c r="N28" s="35">
        <v>11183378</v>
      </c>
      <c r="O28" s="36">
        <v>10956480</v>
      </c>
      <c r="P28" s="34">
        <v>1902726</v>
      </c>
      <c r="Q28" s="34">
        <v>3453974</v>
      </c>
      <c r="R28" s="35">
        <v>10956480</v>
      </c>
      <c r="S28" s="36">
        <v>11097973</v>
      </c>
      <c r="T28" s="354">
        <v>3453974</v>
      </c>
      <c r="U28" s="354">
        <v>5154059</v>
      </c>
      <c r="V28" s="355">
        <v>48820193</v>
      </c>
      <c r="W28" s="356">
        <v>61010520</v>
      </c>
      <c r="X28" s="34">
        <v>5219731</v>
      </c>
      <c r="Y28" s="34">
        <v>6343896</v>
      </c>
      <c r="Z28" s="35">
        <v>20446561</v>
      </c>
      <c r="AA28" s="674">
        <v>23336490</v>
      </c>
      <c r="AB28" s="634">
        <f>3277345+208554</f>
        <v>3485899</v>
      </c>
      <c r="AC28" s="634">
        <f>3889762+51228</f>
        <v>3940990</v>
      </c>
      <c r="AD28" s="634">
        <f>4910578+12864662</f>
        <v>17775240</v>
      </c>
      <c r="AE28" s="689">
        <f>11179861+11299116</f>
        <v>22478977</v>
      </c>
      <c r="AF28" s="605"/>
      <c r="AG28" s="605"/>
      <c r="AH28" s="605"/>
      <c r="AI28" s="605"/>
      <c r="AJ28" s="707">
        <v>0</v>
      </c>
      <c r="AK28" s="707">
        <v>6486924</v>
      </c>
      <c r="AL28" s="707">
        <v>3996704</v>
      </c>
      <c r="AM28" s="707">
        <f>7057816+51009212</f>
        <v>58067028</v>
      </c>
      <c r="AN28" s="709">
        <f>609029028+143507448</f>
        <v>752536476</v>
      </c>
      <c r="AO28" s="709">
        <f>710134200+27274195</f>
        <v>737408395</v>
      </c>
      <c r="AP28" s="709">
        <v>9876033</v>
      </c>
      <c r="AQ28" s="709">
        <v>184902</v>
      </c>
      <c r="AR28" s="709"/>
      <c r="AS28" s="709"/>
      <c r="AT28" s="607">
        <f>38107504+424375</f>
        <v>38531879</v>
      </c>
      <c r="AU28" s="607">
        <f>32887830+771714</f>
        <v>33659544</v>
      </c>
      <c r="AV28" s="607">
        <f>329570177+77552+38330</f>
        <v>329686059</v>
      </c>
      <c r="AW28" s="642">
        <f>421173535+450530+3588327</f>
        <v>425212392</v>
      </c>
      <c r="AX28" s="642">
        <f>7701019+578510+1008545+331262</f>
        <v>9619336</v>
      </c>
      <c r="AY28" s="642">
        <f>11336865+1218140+1988739+239976</f>
        <v>14783720</v>
      </c>
    </row>
    <row r="29" spans="1:51" ht="15.75" thickBot="1" x14ac:dyDescent="0.3">
      <c r="A29" s="6" t="s">
        <v>31</v>
      </c>
      <c r="B29" s="34">
        <v>0</v>
      </c>
      <c r="C29" s="34">
        <v>101879</v>
      </c>
      <c r="D29" s="34">
        <v>341553</v>
      </c>
      <c r="E29" s="34">
        <v>499989</v>
      </c>
      <c r="F29" s="34">
        <v>429382</v>
      </c>
      <c r="G29" s="35">
        <v>0</v>
      </c>
      <c r="H29" s="36">
        <v>0</v>
      </c>
      <c r="I29" s="37">
        <v>84321</v>
      </c>
      <c r="J29" s="37">
        <v>84171</v>
      </c>
      <c r="K29" s="37">
        <v>1243932</v>
      </c>
      <c r="L29" s="34">
        <v>429382</v>
      </c>
      <c r="M29" s="34">
        <v>352101</v>
      </c>
      <c r="N29" s="35">
        <v>1243932</v>
      </c>
      <c r="O29" s="36">
        <v>2133039</v>
      </c>
      <c r="P29" s="56">
        <v>352101</v>
      </c>
      <c r="Q29" s="56">
        <v>48247</v>
      </c>
      <c r="R29" s="57">
        <v>2133039</v>
      </c>
      <c r="S29" s="58">
        <v>2192066</v>
      </c>
      <c r="T29" s="357">
        <v>48247</v>
      </c>
      <c r="U29" s="357">
        <v>279807</v>
      </c>
      <c r="V29" s="358">
        <v>2192066</v>
      </c>
      <c r="W29" s="359">
        <v>1685006</v>
      </c>
      <c r="X29" s="56">
        <v>679868</v>
      </c>
      <c r="Y29" s="56"/>
      <c r="Z29" s="57">
        <v>6291085</v>
      </c>
      <c r="AA29" s="678">
        <v>3110704</v>
      </c>
      <c r="AB29" s="634">
        <v>36873</v>
      </c>
      <c r="AC29" s="634">
        <v>77511</v>
      </c>
      <c r="AD29" s="634">
        <v>11248637</v>
      </c>
      <c r="AE29" s="689">
        <v>5774145</v>
      </c>
      <c r="AF29" s="612">
        <v>1104553</v>
      </c>
      <c r="AG29" s="612">
        <v>337412</v>
      </c>
      <c r="AH29" s="612">
        <v>109106</v>
      </c>
      <c r="AI29" s="612">
        <v>66990</v>
      </c>
      <c r="AJ29" s="607">
        <v>13299404</v>
      </c>
      <c r="AK29" s="607">
        <v>-433961</v>
      </c>
      <c r="AL29" s="642"/>
      <c r="AM29" s="642">
        <v>0</v>
      </c>
      <c r="AN29" s="607">
        <v>-1159642</v>
      </c>
      <c r="AO29" s="607">
        <v>-4463262</v>
      </c>
      <c r="AP29" s="607">
        <v>-6815599</v>
      </c>
      <c r="AQ29" s="607">
        <v>-4921398</v>
      </c>
      <c r="AR29" s="607"/>
      <c r="AS29" s="607"/>
      <c r="AT29" s="607">
        <v>2639216</v>
      </c>
      <c r="AU29" s="607">
        <v>-24354526</v>
      </c>
      <c r="AV29" s="642">
        <v>0</v>
      </c>
      <c r="AW29" s="642">
        <v>0</v>
      </c>
      <c r="AX29" s="642">
        <v>140776</v>
      </c>
      <c r="AY29" s="642">
        <v>-2584395</v>
      </c>
    </row>
    <row r="30" spans="1:51" ht="15.75" thickBot="1" x14ac:dyDescent="0.3">
      <c r="A30" s="16" t="s">
        <v>32</v>
      </c>
      <c r="B30" s="38">
        <v>0</v>
      </c>
      <c r="C30" s="38">
        <v>29578851.901999999</v>
      </c>
      <c r="D30" s="38">
        <v>33595293</v>
      </c>
      <c r="E30" s="38">
        <v>42816262</v>
      </c>
      <c r="F30" s="38">
        <v>46309605</v>
      </c>
      <c r="G30" s="39">
        <v>24848821</v>
      </c>
      <c r="H30" s="40">
        <v>39864080</v>
      </c>
      <c r="I30" s="41">
        <v>50630989</v>
      </c>
      <c r="J30" s="41">
        <v>83042789</v>
      </c>
      <c r="K30" s="41">
        <v>100356793</v>
      </c>
      <c r="L30" s="38">
        <v>46309605</v>
      </c>
      <c r="M30" s="38">
        <v>50855777</v>
      </c>
      <c r="N30" s="39">
        <v>100356793</v>
      </c>
      <c r="O30" s="40">
        <v>117796264</v>
      </c>
      <c r="P30" s="291">
        <v>50855777</v>
      </c>
      <c r="Q30" s="291">
        <v>52698520</v>
      </c>
      <c r="R30" s="292">
        <v>117796264</v>
      </c>
      <c r="S30" s="293">
        <v>126634486</v>
      </c>
      <c r="T30" s="360">
        <v>52698520</v>
      </c>
      <c r="U30" s="360">
        <f>SUM(U27:U29)</f>
        <v>60694543</v>
      </c>
      <c r="V30" s="360">
        <f>SUM(V27:V29)</f>
        <v>126324878</v>
      </c>
      <c r="W30" s="360">
        <f>SUM(W27:W29)</f>
        <v>140178673</v>
      </c>
      <c r="X30" s="291">
        <v>61108344</v>
      </c>
      <c r="Y30" s="291">
        <v>59401667</v>
      </c>
      <c r="Z30" s="291">
        <v>150906234</v>
      </c>
      <c r="AA30" s="682">
        <v>153700187</v>
      </c>
      <c r="AB30" s="605"/>
      <c r="AC30" s="605"/>
      <c r="AD30" s="605"/>
      <c r="AE30" s="616"/>
      <c r="AF30" s="605"/>
      <c r="AG30" s="605"/>
      <c r="AH30" s="605"/>
      <c r="AI30" s="605"/>
      <c r="AJ30" s="605"/>
      <c r="AK30" s="605"/>
      <c r="AL30" s="605"/>
      <c r="AM30" s="605"/>
      <c r="AN30" s="605"/>
      <c r="AO30" s="605"/>
      <c r="AP30" s="605"/>
      <c r="AQ30" s="605"/>
      <c r="AR30" s="605"/>
      <c r="AS30" s="605"/>
      <c r="AT30" s="605"/>
      <c r="AU30" s="605"/>
      <c r="AV30" s="605"/>
      <c r="AW30" s="605"/>
      <c r="AX30" s="605"/>
      <c r="AY30" s="605"/>
    </row>
    <row r="31" spans="1:51" x14ac:dyDescent="0.25">
      <c r="A31" s="51" t="s">
        <v>33</v>
      </c>
      <c r="B31" s="52">
        <v>0</v>
      </c>
      <c r="C31" s="52">
        <v>666245.73600000143</v>
      </c>
      <c r="D31" s="52">
        <v>1462954</v>
      </c>
      <c r="E31" s="52">
        <v>2363985</v>
      </c>
      <c r="F31" s="52">
        <v>1875049</v>
      </c>
      <c r="G31" s="53">
        <v>-1197977</v>
      </c>
      <c r="H31" s="54">
        <v>-180815</v>
      </c>
      <c r="I31" s="55">
        <v>3159635</v>
      </c>
      <c r="J31" s="55">
        <v>12524183</v>
      </c>
      <c r="K31" s="55">
        <v>14595842</v>
      </c>
      <c r="L31" s="226">
        <v>1875049</v>
      </c>
      <c r="M31" s="226">
        <v>1443878</v>
      </c>
      <c r="N31" s="227">
        <v>14595842</v>
      </c>
      <c r="O31" s="228">
        <v>14959914</v>
      </c>
      <c r="P31" s="287">
        <v>1443878</v>
      </c>
      <c r="Q31" s="287">
        <v>716774</v>
      </c>
      <c r="R31" s="294">
        <v>14959914</v>
      </c>
      <c r="S31" s="295">
        <v>15545738</v>
      </c>
      <c r="T31" s="373">
        <f t="shared" ref="T31:W31" si="2">+T23-T27</f>
        <v>716774</v>
      </c>
      <c r="U31" s="373">
        <f t="shared" si="2"/>
        <v>551222</v>
      </c>
      <c r="V31" s="373">
        <f t="shared" si="2"/>
        <v>53577566</v>
      </c>
      <c r="W31" s="373">
        <f t="shared" si="2"/>
        <v>63501684</v>
      </c>
      <c r="X31" s="287">
        <v>4203856</v>
      </c>
      <c r="Y31" s="452">
        <v>-1932974</v>
      </c>
      <c r="Z31" s="287">
        <v>16816243</v>
      </c>
      <c r="AA31" s="684">
        <v>31645930</v>
      </c>
      <c r="AB31" s="634">
        <v>-1872424</v>
      </c>
      <c r="AC31" s="634">
        <v>-2289430</v>
      </c>
      <c r="AD31" s="634">
        <v>32817588</v>
      </c>
      <c r="AE31" s="689">
        <v>31106128</v>
      </c>
      <c r="AF31" s="696">
        <v>241070</v>
      </c>
      <c r="AG31" s="697">
        <v>812616</v>
      </c>
      <c r="AH31" s="698">
        <v>860912</v>
      </c>
      <c r="AI31" s="699">
        <v>362043</v>
      </c>
      <c r="AJ31" s="614">
        <v>39044493</v>
      </c>
      <c r="AK31" s="614">
        <v>-32371126</v>
      </c>
      <c r="AL31" s="614">
        <v>-156894123</v>
      </c>
      <c r="AM31" s="614">
        <v>-435727141</v>
      </c>
      <c r="AN31" s="614">
        <v>-4362862880</v>
      </c>
      <c r="AO31" s="614">
        <v>-256658652</v>
      </c>
      <c r="AP31" s="614">
        <v>-55026263</v>
      </c>
      <c r="AQ31" s="614">
        <v>12789803</v>
      </c>
      <c r="AR31" s="614">
        <v>0</v>
      </c>
      <c r="AS31" s="614">
        <v>0</v>
      </c>
      <c r="AT31" s="614">
        <v>5084478</v>
      </c>
      <c r="AU31" s="614">
        <v>30920741</v>
      </c>
      <c r="AV31" s="614">
        <v>-525775935</v>
      </c>
      <c r="AW31" s="614">
        <v>-2611835234</v>
      </c>
      <c r="AX31" s="614">
        <v>9738032</v>
      </c>
      <c r="AY31" s="614">
        <v>17517660</v>
      </c>
    </row>
    <row r="32" spans="1:51" ht="15.75" thickBot="1" x14ac:dyDescent="0.3">
      <c r="A32" s="46" t="s">
        <v>34</v>
      </c>
      <c r="B32" s="47">
        <v>0</v>
      </c>
      <c r="C32" s="47">
        <v>-423197.48899999633</v>
      </c>
      <c r="D32" s="47">
        <v>543799</v>
      </c>
      <c r="E32" s="47">
        <v>800893</v>
      </c>
      <c r="F32" s="47">
        <v>571606</v>
      </c>
      <c r="G32" s="48">
        <v>-1531293</v>
      </c>
      <c r="H32" s="49">
        <v>-2057453</v>
      </c>
      <c r="I32" s="50">
        <v>726243</v>
      </c>
      <c r="J32" s="50">
        <v>4587994</v>
      </c>
      <c r="K32" s="50">
        <v>2168532</v>
      </c>
      <c r="L32" s="229">
        <v>571606</v>
      </c>
      <c r="M32" s="229">
        <v>424994</v>
      </c>
      <c r="N32" s="230">
        <v>2168532</v>
      </c>
      <c r="O32" s="231">
        <v>1870395</v>
      </c>
      <c r="P32" s="284">
        <v>424994</v>
      </c>
      <c r="Q32" s="284">
        <v>-1736279</v>
      </c>
      <c r="R32" s="285">
        <v>1870395</v>
      </c>
      <c r="S32" s="286">
        <v>2565307</v>
      </c>
      <c r="T32" s="374">
        <f t="shared" ref="T32:W32" si="3">+T25-T30</f>
        <v>-1736279</v>
      </c>
      <c r="U32" s="375">
        <f t="shared" si="3"/>
        <v>444763</v>
      </c>
      <c r="V32" s="375">
        <f t="shared" si="3"/>
        <v>2565307</v>
      </c>
      <c r="W32" s="376">
        <f t="shared" si="3"/>
        <v>806158</v>
      </c>
      <c r="X32" s="450">
        <v>-7033</v>
      </c>
      <c r="Y32" s="450">
        <v>-4629067</v>
      </c>
      <c r="Z32" s="450">
        <v>-9206400</v>
      </c>
      <c r="AA32" s="685">
        <v>5953883</v>
      </c>
      <c r="AB32" s="634">
        <v>-1641494</v>
      </c>
      <c r="AC32" s="634">
        <v>-3765290</v>
      </c>
      <c r="AD32" s="634">
        <v>3793711</v>
      </c>
      <c r="AE32" s="689">
        <v>2853006</v>
      </c>
      <c r="AF32" s="700">
        <v>1294830</v>
      </c>
      <c r="AG32" s="610">
        <v>-3380891</v>
      </c>
      <c r="AH32" s="701">
        <v>199365</v>
      </c>
      <c r="AI32" s="702">
        <v>128116</v>
      </c>
      <c r="AJ32" s="615">
        <v>25745089</v>
      </c>
      <c r="AK32" s="615">
        <v>-30477408</v>
      </c>
      <c r="AL32" s="615">
        <v>-86814939</v>
      </c>
      <c r="AM32" s="615">
        <v>-422680847</v>
      </c>
      <c r="AN32" s="615">
        <v>-1906644682</v>
      </c>
      <c r="AO32" s="615">
        <v>-801213587</v>
      </c>
      <c r="AP32" s="615">
        <v>-61710380</v>
      </c>
      <c r="AQ32" s="615">
        <v>11856658</v>
      </c>
      <c r="AR32" s="615">
        <v>0</v>
      </c>
      <c r="AS32" s="615">
        <v>0</v>
      </c>
      <c r="AT32" s="615">
        <v>-2599207</v>
      </c>
      <c r="AU32" s="615">
        <v>3565427</v>
      </c>
      <c r="AV32" s="615">
        <v>-538592026</v>
      </c>
      <c r="AW32" s="706">
        <v>-1341959905</v>
      </c>
      <c r="AX32" s="615">
        <v>668176</v>
      </c>
      <c r="AY32" s="615">
        <v>619665</v>
      </c>
    </row>
  </sheetData>
  <mergeCells count="23">
    <mergeCell ref="AT1:AU1"/>
    <mergeCell ref="AV1:AW1"/>
    <mergeCell ref="AX1:AY1"/>
    <mergeCell ref="AL1:AM1"/>
    <mergeCell ref="AN1:AO1"/>
    <mergeCell ref="AP1:AQ1"/>
    <mergeCell ref="AR1:AS1"/>
    <mergeCell ref="R1:S1"/>
    <mergeCell ref="AB1:AC1"/>
    <mergeCell ref="AD1:AE1"/>
    <mergeCell ref="AF1:AG1"/>
    <mergeCell ref="AH1:AI1"/>
    <mergeCell ref="AJ1:AK1"/>
    <mergeCell ref="A1:A2"/>
    <mergeCell ref="G1:K1"/>
    <mergeCell ref="B1:F1"/>
    <mergeCell ref="N1:O1"/>
    <mergeCell ref="L1:M1"/>
    <mergeCell ref="P1:Q1"/>
    <mergeCell ref="T1:U1"/>
    <mergeCell ref="V1:W1"/>
    <mergeCell ref="Z1:AA1"/>
    <mergeCell ref="X1:Y1"/>
  </mergeCells>
  <conditionalFormatting sqref="AF23">
    <cfRule type="cellIs" dxfId="95" priority="18" stopIfTrue="1" operator="lessThan">
      <formula>0</formula>
    </cfRule>
  </conditionalFormatting>
  <conditionalFormatting sqref="AF31">
    <cfRule type="cellIs" dxfId="94" priority="13" stopIfTrue="1" operator="lessThan">
      <formula>0</formula>
    </cfRule>
  </conditionalFormatting>
  <conditionalFormatting sqref="AH32">
    <cfRule type="cellIs" dxfId="93" priority="9" stopIfTrue="1" operator="lessThan">
      <formula>0</formula>
    </cfRule>
    <cfRule type="uniqueValues" priority="10" stopIfTrue="1"/>
    <cfRule type="cellIs" dxfId="92" priority="11" stopIfTrue="1" operator="lessThan">
      <formula>0</formula>
    </cfRule>
    <cfRule type="cellIs" dxfId="91" priority="12" stopIfTrue="1" operator="lessThan">
      <formula>-74404846</formula>
    </cfRule>
  </conditionalFormatting>
  <conditionalFormatting sqref="AH31">
    <cfRule type="cellIs" dxfId="90" priority="14" stopIfTrue="1" operator="lessThan">
      <formula>0</formula>
    </cfRule>
    <cfRule type="uniqueValues" priority="15" stopIfTrue="1"/>
    <cfRule type="cellIs" dxfId="89" priority="16" stopIfTrue="1" operator="lessThan">
      <formula>0</formula>
    </cfRule>
    <cfRule type="cellIs" dxfId="88" priority="17" stopIfTrue="1" operator="lessThan">
      <formula>-74404846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D553-A71A-46E7-B7BC-E49934599C45}">
  <dimension ref="A1:BC31"/>
  <sheetViews>
    <sheetView topLeftCell="A15" workbookViewId="0">
      <selection activeCell="J31" sqref="J31"/>
    </sheetView>
  </sheetViews>
  <sheetFormatPr baseColWidth="10" defaultRowHeight="15" x14ac:dyDescent="0.25"/>
  <cols>
    <col min="1" max="1" width="32.85546875" bestFit="1" customWidth="1"/>
    <col min="2" max="3" width="13.28515625" bestFit="1" customWidth="1"/>
    <col min="4" max="5" width="15.7109375" bestFit="1" customWidth="1"/>
    <col min="6" max="6" width="14.28515625" bestFit="1" customWidth="1"/>
  </cols>
  <sheetData>
    <row r="1" spans="1:55" ht="24" customHeight="1" thickBot="1" x14ac:dyDescent="0.3">
      <c r="A1" s="575" t="s">
        <v>0</v>
      </c>
      <c r="B1" s="710" t="s">
        <v>195</v>
      </c>
      <c r="C1" s="546"/>
      <c r="D1" s="545" t="s">
        <v>195</v>
      </c>
      <c r="E1" s="546"/>
      <c r="F1" s="545" t="s">
        <v>195</v>
      </c>
      <c r="G1" s="546"/>
      <c r="H1" s="545" t="s">
        <v>195</v>
      </c>
      <c r="I1" s="546"/>
      <c r="J1" s="545" t="s">
        <v>195</v>
      </c>
      <c r="K1" s="546"/>
      <c r="L1" s="545" t="s">
        <v>195</v>
      </c>
      <c r="M1" s="546"/>
      <c r="N1" s="545" t="s">
        <v>195</v>
      </c>
      <c r="O1" s="546"/>
      <c r="P1" s="545" t="s">
        <v>195</v>
      </c>
      <c r="Q1" s="546"/>
      <c r="R1" s="545" t="s">
        <v>195</v>
      </c>
      <c r="S1" s="546"/>
      <c r="T1" s="545" t="s">
        <v>195</v>
      </c>
      <c r="U1" s="546"/>
      <c r="V1" s="545" t="s">
        <v>195</v>
      </c>
      <c r="W1" s="546"/>
      <c r="X1" s="545" t="s">
        <v>195</v>
      </c>
      <c r="Y1" s="546"/>
      <c r="Z1" s="545" t="s">
        <v>195</v>
      </c>
      <c r="AA1" s="546"/>
      <c r="AB1" s="545" t="s">
        <v>195</v>
      </c>
      <c r="AC1" s="546"/>
      <c r="AD1" s="545" t="s">
        <v>195</v>
      </c>
      <c r="AE1" s="546"/>
      <c r="AF1" s="545" t="s">
        <v>195</v>
      </c>
      <c r="AG1" s="546"/>
      <c r="AH1" s="545" t="s">
        <v>195</v>
      </c>
      <c r="AI1" s="546"/>
      <c r="AJ1" s="545" t="s">
        <v>195</v>
      </c>
      <c r="AK1" s="546"/>
      <c r="AL1" s="545" t="s">
        <v>195</v>
      </c>
      <c r="AM1" s="546"/>
      <c r="AN1" s="545" t="s">
        <v>195</v>
      </c>
      <c r="AO1" s="546"/>
      <c r="AP1" s="545" t="s">
        <v>195</v>
      </c>
      <c r="AQ1" s="546"/>
      <c r="AR1" s="545" t="s">
        <v>195</v>
      </c>
      <c r="AS1" s="546"/>
      <c r="AT1" s="545" t="s">
        <v>195</v>
      </c>
      <c r="AU1" s="546"/>
      <c r="AV1" s="545" t="s">
        <v>195</v>
      </c>
      <c r="AW1" s="546"/>
      <c r="AX1" s="545" t="s">
        <v>196</v>
      </c>
      <c r="AY1" s="546"/>
      <c r="AZ1" s="545" t="s">
        <v>195</v>
      </c>
      <c r="BA1" s="546"/>
      <c r="BB1" s="545" t="s">
        <v>196</v>
      </c>
      <c r="BC1" s="546"/>
    </row>
    <row r="2" spans="1:55" ht="60" customHeight="1" thickBot="1" x14ac:dyDescent="0.3">
      <c r="A2" s="576"/>
      <c r="B2" s="710" t="s">
        <v>197</v>
      </c>
      <c r="C2" s="546"/>
      <c r="D2" s="545" t="s">
        <v>198</v>
      </c>
      <c r="E2" s="546"/>
      <c r="F2" s="545" t="s">
        <v>199</v>
      </c>
      <c r="G2" s="546"/>
      <c r="H2" s="545" t="s">
        <v>200</v>
      </c>
      <c r="I2" s="546"/>
      <c r="J2" s="545" t="s">
        <v>201</v>
      </c>
      <c r="K2" s="546"/>
      <c r="L2" s="545" t="s">
        <v>202</v>
      </c>
      <c r="M2" s="546"/>
      <c r="N2" s="545" t="s">
        <v>203</v>
      </c>
      <c r="O2" s="546"/>
      <c r="P2" s="545" t="s">
        <v>204</v>
      </c>
      <c r="Q2" s="546"/>
      <c r="R2" s="545" t="s">
        <v>205</v>
      </c>
      <c r="S2" s="546"/>
      <c r="T2" s="545" t="s">
        <v>206</v>
      </c>
      <c r="U2" s="546"/>
      <c r="V2" s="545" t="s">
        <v>207</v>
      </c>
      <c r="W2" s="546"/>
      <c r="X2" s="545" t="s">
        <v>208</v>
      </c>
      <c r="Y2" s="546"/>
      <c r="Z2" s="545" t="s">
        <v>209</v>
      </c>
      <c r="AA2" s="546"/>
      <c r="AB2" s="545" t="s">
        <v>210</v>
      </c>
      <c r="AC2" s="546"/>
      <c r="AD2" s="545" t="s">
        <v>211</v>
      </c>
      <c r="AE2" s="546"/>
      <c r="AF2" s="545" t="s">
        <v>212</v>
      </c>
      <c r="AG2" s="546"/>
      <c r="AH2" s="545" t="s">
        <v>213</v>
      </c>
      <c r="AI2" s="546"/>
      <c r="AJ2" s="545" t="s">
        <v>214</v>
      </c>
      <c r="AK2" s="546"/>
      <c r="AL2" s="545" t="s">
        <v>215</v>
      </c>
      <c r="AM2" s="546"/>
      <c r="AN2" s="545" t="s">
        <v>216</v>
      </c>
      <c r="AO2" s="546"/>
      <c r="AP2" s="545" t="s">
        <v>217</v>
      </c>
      <c r="AQ2" s="546"/>
      <c r="AR2" s="545" t="s">
        <v>218</v>
      </c>
      <c r="AS2" s="546"/>
      <c r="AT2" s="545" t="s">
        <v>219</v>
      </c>
      <c r="AU2" s="546"/>
      <c r="AV2" s="545" t="s">
        <v>220</v>
      </c>
      <c r="AW2" s="546"/>
      <c r="AX2" s="545" t="s">
        <v>221</v>
      </c>
      <c r="AY2" s="546"/>
      <c r="AZ2" s="545" t="s">
        <v>222</v>
      </c>
      <c r="BA2" s="546"/>
      <c r="BB2" s="545" t="s">
        <v>223</v>
      </c>
      <c r="BC2" s="546"/>
    </row>
    <row r="3" spans="1:55" ht="15.75" thickBot="1" x14ac:dyDescent="0.3">
      <c r="A3" s="4" t="s">
        <v>5</v>
      </c>
      <c r="B3" s="495">
        <v>2022</v>
      </c>
      <c r="C3" s="491">
        <v>2023</v>
      </c>
      <c r="D3" s="491">
        <v>2022</v>
      </c>
      <c r="E3" s="491">
        <v>2023</v>
      </c>
      <c r="F3" s="491">
        <v>2022</v>
      </c>
      <c r="G3" s="491">
        <v>2023</v>
      </c>
      <c r="H3" s="491">
        <v>2022</v>
      </c>
      <c r="I3" s="491">
        <v>2023</v>
      </c>
      <c r="J3" s="491">
        <v>2022</v>
      </c>
      <c r="K3" s="491">
        <v>2023</v>
      </c>
      <c r="L3" s="491">
        <v>2022</v>
      </c>
      <c r="M3" s="491">
        <v>2023</v>
      </c>
      <c r="N3" s="491">
        <v>2022</v>
      </c>
      <c r="O3" s="491">
        <v>2023</v>
      </c>
      <c r="P3" s="491">
        <v>2022</v>
      </c>
      <c r="Q3" s="491">
        <v>2023</v>
      </c>
      <c r="R3" s="491">
        <v>2022</v>
      </c>
      <c r="S3" s="491">
        <v>2023</v>
      </c>
      <c r="T3" s="491">
        <v>2022</v>
      </c>
      <c r="U3" s="491">
        <v>2023</v>
      </c>
      <c r="V3" s="491">
        <v>2022</v>
      </c>
      <c r="W3" s="491">
        <v>2023</v>
      </c>
      <c r="X3" s="491">
        <v>2022</v>
      </c>
      <c r="Y3" s="491">
        <v>2023</v>
      </c>
      <c r="Z3" s="491">
        <v>2022</v>
      </c>
      <c r="AA3" s="491">
        <v>2023</v>
      </c>
      <c r="AB3" s="491">
        <v>2022</v>
      </c>
      <c r="AC3" s="491">
        <v>2023</v>
      </c>
      <c r="AD3" s="491">
        <v>2022</v>
      </c>
      <c r="AE3" s="491">
        <v>2023</v>
      </c>
      <c r="AF3" s="491">
        <v>2022</v>
      </c>
      <c r="AG3" s="491">
        <v>2023</v>
      </c>
      <c r="AH3" s="491">
        <v>2022</v>
      </c>
      <c r="AI3" s="491">
        <v>2023</v>
      </c>
      <c r="AJ3" s="491">
        <v>2022</v>
      </c>
      <c r="AK3" s="491">
        <v>2023</v>
      </c>
      <c r="AL3" s="491">
        <v>2022</v>
      </c>
      <c r="AM3" s="491">
        <v>2023</v>
      </c>
      <c r="AN3" s="491">
        <v>2022</v>
      </c>
      <c r="AO3" s="491">
        <v>2023</v>
      </c>
      <c r="AP3" s="491">
        <v>2022</v>
      </c>
      <c r="AQ3" s="491">
        <v>2023</v>
      </c>
      <c r="AR3" s="491">
        <v>2022</v>
      </c>
      <c r="AS3" s="491">
        <v>2023</v>
      </c>
      <c r="AT3" s="491">
        <v>2022</v>
      </c>
      <c r="AU3" s="491">
        <v>2023</v>
      </c>
      <c r="AV3" s="491">
        <v>2022</v>
      </c>
      <c r="AW3" s="491">
        <v>2023</v>
      </c>
      <c r="AX3" s="491">
        <v>2022</v>
      </c>
      <c r="AY3" s="491">
        <v>2023</v>
      </c>
      <c r="AZ3" s="491">
        <v>2022</v>
      </c>
      <c r="BA3" s="491">
        <v>2023</v>
      </c>
      <c r="BB3" s="491">
        <v>2022</v>
      </c>
      <c r="BC3" s="491">
        <v>2023</v>
      </c>
    </row>
    <row r="4" spans="1:55" ht="15.75" thickBot="1" x14ac:dyDescent="0.3">
      <c r="A4" s="5" t="s">
        <v>6</v>
      </c>
    </row>
    <row r="5" spans="1:55" ht="15.75" thickBot="1" x14ac:dyDescent="0.3">
      <c r="A5" s="6" t="s">
        <v>7</v>
      </c>
      <c r="B5" s="489">
        <v>18686668000</v>
      </c>
      <c r="C5" s="496">
        <v>45776326000</v>
      </c>
      <c r="D5" s="497">
        <v>2618905151000</v>
      </c>
      <c r="E5" s="496">
        <v>2019558805000</v>
      </c>
      <c r="F5" s="497">
        <v>306693042000</v>
      </c>
      <c r="G5" s="496">
        <v>280791829000</v>
      </c>
      <c r="H5" s="497">
        <v>372186024</v>
      </c>
      <c r="I5" s="496">
        <v>377635677</v>
      </c>
      <c r="J5" s="497">
        <v>2877649964</v>
      </c>
      <c r="K5" s="496">
        <v>6394334989</v>
      </c>
      <c r="L5" s="497">
        <v>4812525602</v>
      </c>
      <c r="M5" s="496">
        <v>5550192760</v>
      </c>
      <c r="N5" s="497">
        <v>1927716000</v>
      </c>
      <c r="O5" s="496">
        <v>1894229000</v>
      </c>
      <c r="P5" s="497">
        <v>395110758000</v>
      </c>
      <c r="Q5" s="497">
        <v>281093671000</v>
      </c>
      <c r="R5" s="497">
        <v>6476865000</v>
      </c>
      <c r="S5" s="496">
        <v>3772940000</v>
      </c>
      <c r="T5" s="497">
        <v>150127947000</v>
      </c>
      <c r="U5" s="496">
        <v>71238357000</v>
      </c>
      <c r="V5" s="497">
        <v>350924000</v>
      </c>
      <c r="W5" s="496">
        <v>352412000</v>
      </c>
      <c r="X5" s="497">
        <v>72928088000</v>
      </c>
      <c r="Y5" s="496">
        <v>140986004000</v>
      </c>
      <c r="Z5" s="497">
        <v>905778000</v>
      </c>
      <c r="AA5" s="496">
        <v>3998361000</v>
      </c>
      <c r="AB5" s="497">
        <v>19469001267</v>
      </c>
      <c r="AC5" s="496">
        <v>19297848585</v>
      </c>
      <c r="AD5" s="497">
        <v>50190585364</v>
      </c>
      <c r="AE5" s="496">
        <v>86793868615</v>
      </c>
      <c r="AF5" s="497">
        <v>4189365122</v>
      </c>
      <c r="AG5" s="496">
        <v>20615437958</v>
      </c>
      <c r="AH5" s="497">
        <v>87626060000</v>
      </c>
      <c r="AI5" s="496">
        <v>105809786000</v>
      </c>
      <c r="AJ5" s="497">
        <v>13105194201</v>
      </c>
      <c r="AK5" s="496">
        <v>28909903040</v>
      </c>
      <c r="AL5" s="497">
        <v>30089043000</v>
      </c>
      <c r="AM5" s="496">
        <v>27136499000</v>
      </c>
      <c r="AN5" s="497">
        <v>294187173</v>
      </c>
      <c r="AO5" s="496">
        <v>201453288</v>
      </c>
      <c r="AP5" s="497">
        <v>10903503225</v>
      </c>
      <c r="AQ5" s="496">
        <v>11343543785</v>
      </c>
      <c r="AR5" s="497">
        <v>48312934623</v>
      </c>
      <c r="AS5" s="496">
        <v>83846314039</v>
      </c>
      <c r="AT5" s="497">
        <v>17062041433</v>
      </c>
      <c r="AU5" s="496">
        <v>14074990098</v>
      </c>
      <c r="AV5" s="497">
        <v>16500764054</v>
      </c>
      <c r="AW5" s="496">
        <v>15836866713</v>
      </c>
      <c r="AX5" s="497">
        <v>323920270</v>
      </c>
      <c r="AY5" s="496">
        <v>833576009</v>
      </c>
      <c r="AZ5" s="497">
        <v>8405619315</v>
      </c>
      <c r="BA5" s="496">
        <v>9720840098</v>
      </c>
      <c r="BB5" s="497">
        <v>517526567000</v>
      </c>
      <c r="BC5" s="496">
        <v>469446089000</v>
      </c>
    </row>
    <row r="6" spans="1:55" ht="15.75" thickBot="1" x14ac:dyDescent="0.3">
      <c r="A6" s="6" t="s">
        <v>8</v>
      </c>
      <c r="B6" s="618">
        <v>391671000</v>
      </c>
      <c r="C6" s="711"/>
      <c r="D6" s="492">
        <v>100000000</v>
      </c>
      <c r="E6" s="492">
        <v>100000000</v>
      </c>
      <c r="F6" s="711"/>
      <c r="G6" s="711"/>
      <c r="H6" s="492">
        <v>4402145</v>
      </c>
      <c r="I6" s="712" t="s">
        <v>224</v>
      </c>
      <c r="J6" s="492">
        <v>7164803235</v>
      </c>
      <c r="K6" s="492">
        <v>5235770385</v>
      </c>
      <c r="L6" s="711"/>
      <c r="M6" s="711"/>
      <c r="N6" s="711"/>
      <c r="O6" s="711"/>
      <c r="P6" s="713">
        <v>113666000</v>
      </c>
      <c r="Q6" s="713">
        <v>105817000</v>
      </c>
      <c r="R6" s="711"/>
      <c r="S6" s="711"/>
      <c r="T6" s="711"/>
      <c r="U6" s="711"/>
      <c r="V6" s="711"/>
      <c r="W6" s="711"/>
      <c r="X6" s="711"/>
      <c r="Y6" s="711"/>
      <c r="Z6" s="711"/>
      <c r="AA6" s="711"/>
      <c r="AB6" s="492">
        <v>225100752</v>
      </c>
      <c r="AC6" s="492">
        <v>164686846</v>
      </c>
      <c r="AD6" s="711"/>
      <c r="AE6" s="711"/>
      <c r="AF6" s="711"/>
      <c r="AG6" s="711"/>
      <c r="AH6" s="492">
        <v>392436000</v>
      </c>
      <c r="AI6" s="492">
        <v>2841097000</v>
      </c>
      <c r="AJ6" s="711"/>
      <c r="AK6" s="711"/>
      <c r="AL6" s="492">
        <v>29195000</v>
      </c>
      <c r="AM6" s="492">
        <v>116535000</v>
      </c>
      <c r="AN6" s="711"/>
      <c r="AO6" s="492">
        <v>12407595</v>
      </c>
      <c r="AP6" s="492">
        <v>611351526</v>
      </c>
      <c r="AQ6" s="492">
        <v>871172020</v>
      </c>
      <c r="AR6" s="492">
        <v>942030988</v>
      </c>
      <c r="AS6" s="711"/>
      <c r="AT6" s="711"/>
      <c r="AU6" s="711"/>
      <c r="AV6" s="492">
        <v>359375472</v>
      </c>
      <c r="AW6" s="492">
        <v>369690237</v>
      </c>
      <c r="AX6" s="492">
        <v>27466134</v>
      </c>
      <c r="AY6" s="492">
        <v>1912197547</v>
      </c>
      <c r="AZ6" s="492">
        <v>231177441</v>
      </c>
      <c r="BA6" s="492">
        <v>9575038993</v>
      </c>
      <c r="BB6" s="492">
        <v>21805817000</v>
      </c>
      <c r="BC6" s="492">
        <v>32948355000</v>
      </c>
    </row>
    <row r="7" spans="1:55" x14ac:dyDescent="0.25">
      <c r="A7" s="6" t="s">
        <v>9</v>
      </c>
    </row>
    <row r="8" spans="1:55" x14ac:dyDescent="0.25">
      <c r="A8" s="5" t="s">
        <v>10</v>
      </c>
    </row>
    <row r="9" spans="1:55" ht="15.75" thickBot="1" x14ac:dyDescent="0.3">
      <c r="A9" s="5" t="s">
        <v>11</v>
      </c>
    </row>
    <row r="10" spans="1:55" ht="15.75" thickBot="1" x14ac:dyDescent="0.3">
      <c r="A10" s="6" t="s">
        <v>12</v>
      </c>
      <c r="B10" s="619">
        <v>14323183000</v>
      </c>
      <c r="C10" s="496">
        <v>36952980000</v>
      </c>
      <c r="D10" s="496">
        <v>1426538695000</v>
      </c>
      <c r="E10" s="496">
        <v>1085107214000</v>
      </c>
      <c r="F10" s="496">
        <v>202019000000</v>
      </c>
      <c r="G10" s="496">
        <v>165649294000</v>
      </c>
      <c r="H10" s="496">
        <v>342491960</v>
      </c>
      <c r="I10" s="496">
        <v>343539468</v>
      </c>
      <c r="J10" s="496">
        <v>2860383198</v>
      </c>
      <c r="K10" s="496">
        <v>2493035374</v>
      </c>
      <c r="L10" s="496">
        <v>4806760966</v>
      </c>
      <c r="M10" s="496">
        <v>5544428124</v>
      </c>
      <c r="N10" s="496">
        <v>894455000</v>
      </c>
      <c r="O10" s="496">
        <v>315614000</v>
      </c>
      <c r="P10" s="497">
        <v>279156379000</v>
      </c>
      <c r="Q10" s="497">
        <v>199272222000</v>
      </c>
      <c r="R10" s="496">
        <v>28750658000</v>
      </c>
      <c r="S10" s="496">
        <v>29678484000</v>
      </c>
      <c r="T10" s="496">
        <v>63784854000</v>
      </c>
      <c r="U10" s="496">
        <v>14254332000</v>
      </c>
      <c r="V10" s="496">
        <v>2707748000</v>
      </c>
      <c r="W10" s="496">
        <v>2706379000</v>
      </c>
      <c r="X10" s="496">
        <v>37617705000</v>
      </c>
      <c r="Y10" s="496">
        <v>82343208000</v>
      </c>
      <c r="Z10" s="496">
        <v>1679814000</v>
      </c>
      <c r="AA10" s="496">
        <v>7906247000</v>
      </c>
      <c r="AB10" s="497">
        <v>12217522351</v>
      </c>
      <c r="AC10" s="496">
        <v>11262878339</v>
      </c>
      <c r="AD10" s="496">
        <v>3466971471</v>
      </c>
      <c r="AE10" s="496">
        <v>5726318624</v>
      </c>
      <c r="AF10" s="496">
        <v>609486708</v>
      </c>
      <c r="AG10" s="496">
        <v>1182047462</v>
      </c>
      <c r="AH10" s="496">
        <v>30114579000</v>
      </c>
      <c r="AI10" s="496">
        <v>21629607000</v>
      </c>
      <c r="AJ10" s="496">
        <v>3772378252</v>
      </c>
      <c r="AK10" s="496">
        <v>6727755731</v>
      </c>
      <c r="AL10" s="496">
        <v>9536147000</v>
      </c>
      <c r="AM10" s="496">
        <v>10761191000</v>
      </c>
      <c r="AN10" s="496">
        <v>347795710</v>
      </c>
      <c r="AO10" s="496">
        <v>212855568</v>
      </c>
      <c r="AP10" s="496">
        <v>5919564751</v>
      </c>
      <c r="AQ10" s="496">
        <v>6619425805</v>
      </c>
      <c r="AR10" s="496">
        <v>7992949213</v>
      </c>
      <c r="AS10" s="496">
        <v>10141297641</v>
      </c>
      <c r="AT10" s="496">
        <v>17060300837</v>
      </c>
      <c r="AU10" s="496">
        <v>14073249502</v>
      </c>
      <c r="AV10" s="496">
        <v>5322383427</v>
      </c>
      <c r="AW10" s="496">
        <v>8613098314</v>
      </c>
      <c r="AX10" s="496">
        <v>1307433426</v>
      </c>
      <c r="AY10" s="496">
        <v>950927683</v>
      </c>
      <c r="AZ10" s="496">
        <v>6634298024</v>
      </c>
      <c r="BA10" s="496">
        <v>17179342557</v>
      </c>
      <c r="BB10" s="496">
        <v>316667189000</v>
      </c>
      <c r="BC10" s="496">
        <v>267104220000</v>
      </c>
    </row>
    <row r="11" spans="1:55" ht="15.75" thickBot="1" x14ac:dyDescent="0.3">
      <c r="A11" s="7" t="s">
        <v>13</v>
      </c>
      <c r="B11" s="714"/>
      <c r="C11" s="711"/>
      <c r="D11" s="492">
        <v>147700000</v>
      </c>
      <c r="E11" s="492">
        <v>147700000</v>
      </c>
      <c r="F11" s="711"/>
      <c r="G11" s="711"/>
      <c r="H11" s="712" t="s">
        <v>224</v>
      </c>
      <c r="I11" s="712" t="s">
        <v>224</v>
      </c>
      <c r="J11" s="712" t="s">
        <v>224</v>
      </c>
      <c r="K11" s="712" t="s">
        <v>224</v>
      </c>
      <c r="L11" s="711"/>
      <c r="M11" s="711"/>
      <c r="N11" s="711"/>
      <c r="O11" s="711"/>
      <c r="P11" s="715"/>
      <c r="Q11" s="715"/>
      <c r="R11" s="492">
        <v>8460717000</v>
      </c>
      <c r="S11" s="711"/>
      <c r="T11" s="711"/>
      <c r="U11" s="711"/>
      <c r="V11" s="711"/>
      <c r="W11" s="711"/>
      <c r="X11" s="711"/>
      <c r="Y11" s="711"/>
      <c r="Z11" s="711"/>
      <c r="AA11" s="711"/>
      <c r="AB11" s="711"/>
      <c r="AC11" s="711"/>
      <c r="AD11" s="711"/>
      <c r="AE11" s="711"/>
      <c r="AF11" s="711"/>
      <c r="AG11" s="711"/>
      <c r="AH11" s="492">
        <v>166898000</v>
      </c>
      <c r="AI11" s="492">
        <v>16506000</v>
      </c>
      <c r="AJ11" s="711"/>
      <c r="AK11" s="711"/>
      <c r="AL11" s="492">
        <v>22403386000</v>
      </c>
      <c r="AM11" s="492">
        <v>11380755000</v>
      </c>
      <c r="AN11" s="711"/>
      <c r="AO11" s="711"/>
      <c r="AP11" s="711"/>
      <c r="AQ11" s="711"/>
      <c r="AR11" s="711"/>
      <c r="AS11" s="711"/>
      <c r="AT11" s="711"/>
      <c r="AU11" s="711"/>
      <c r="AV11" s="492">
        <v>11537741099</v>
      </c>
      <c r="AW11" s="492">
        <v>7593443636</v>
      </c>
      <c r="AX11" s="711"/>
      <c r="AY11" s="492">
        <v>3339656215</v>
      </c>
      <c r="AZ11" s="492">
        <v>1892498732</v>
      </c>
      <c r="BA11" s="492">
        <v>2006536534</v>
      </c>
      <c r="BB11" s="492">
        <v>3837219000</v>
      </c>
      <c r="BC11" s="492">
        <v>3837219000</v>
      </c>
    </row>
    <row r="12" spans="1:55" x14ac:dyDescent="0.25">
      <c r="A12" s="6" t="s">
        <v>14</v>
      </c>
    </row>
    <row r="13" spans="1:55" x14ac:dyDescent="0.25">
      <c r="A13" s="5" t="s">
        <v>15</v>
      </c>
    </row>
    <row r="14" spans="1:55" ht="15.75" thickBot="1" x14ac:dyDescent="0.3">
      <c r="A14" s="5" t="s">
        <v>16</v>
      </c>
    </row>
    <row r="15" spans="1:55" ht="15.75" thickBot="1" x14ac:dyDescent="0.3">
      <c r="A15" s="9" t="s">
        <v>17</v>
      </c>
      <c r="B15" s="619">
        <v>2000000</v>
      </c>
      <c r="C15" s="496">
        <v>2000000</v>
      </c>
      <c r="D15" s="496">
        <v>3917000</v>
      </c>
      <c r="E15" s="496">
        <v>3917000</v>
      </c>
      <c r="F15" s="496">
        <v>2125000</v>
      </c>
      <c r="G15" s="496">
        <v>2125000</v>
      </c>
      <c r="H15" s="496">
        <v>34096209</v>
      </c>
      <c r="I15" s="496">
        <v>34096209</v>
      </c>
      <c r="J15" s="496">
        <v>34000000</v>
      </c>
      <c r="K15" s="496">
        <v>34000000</v>
      </c>
      <c r="L15" s="496">
        <v>5764636</v>
      </c>
      <c r="M15" s="496">
        <v>5764636</v>
      </c>
      <c r="N15" s="496">
        <v>30000000</v>
      </c>
      <c r="O15" s="496">
        <v>30000000</v>
      </c>
      <c r="P15" s="497">
        <v>5600000</v>
      </c>
      <c r="Q15" s="497">
        <v>5600000</v>
      </c>
      <c r="R15" s="496">
        <v>13606000</v>
      </c>
      <c r="S15" s="496">
        <v>13606000</v>
      </c>
      <c r="T15" s="496">
        <v>387846000</v>
      </c>
      <c r="U15" s="496">
        <v>387846000</v>
      </c>
      <c r="V15" s="496">
        <v>6704000</v>
      </c>
      <c r="W15" s="496">
        <v>6704000</v>
      </c>
      <c r="X15" s="496">
        <v>100000000</v>
      </c>
      <c r="Y15" s="496">
        <v>100000000</v>
      </c>
      <c r="Z15" s="496">
        <v>100000000</v>
      </c>
      <c r="AA15" s="496">
        <v>100000000</v>
      </c>
      <c r="AB15" s="496">
        <v>1000000</v>
      </c>
      <c r="AC15" s="496">
        <v>1000000</v>
      </c>
      <c r="AD15" s="496">
        <v>7692560</v>
      </c>
      <c r="AE15" s="496">
        <v>7692560</v>
      </c>
      <c r="AF15" s="496">
        <v>8018948</v>
      </c>
      <c r="AG15" s="496">
        <v>8018948</v>
      </c>
      <c r="AH15" s="496">
        <v>996279000</v>
      </c>
      <c r="AI15" s="496">
        <v>18966379000</v>
      </c>
      <c r="AJ15" s="496">
        <v>34273149</v>
      </c>
      <c r="AK15" s="496">
        <v>34273149</v>
      </c>
      <c r="AL15" s="496">
        <v>320000</v>
      </c>
      <c r="AM15" s="496">
        <v>320000</v>
      </c>
      <c r="AN15" s="496">
        <v>17209450</v>
      </c>
      <c r="AO15" s="496">
        <v>17209450</v>
      </c>
      <c r="AP15" s="496">
        <v>67340400</v>
      </c>
      <c r="AQ15" s="496">
        <v>67340400</v>
      </c>
      <c r="AR15" s="496">
        <v>41262016398</v>
      </c>
      <c r="AS15" s="496">
        <v>73705016398</v>
      </c>
      <c r="AT15" s="496">
        <v>1740596</v>
      </c>
      <c r="AU15" s="496">
        <v>1740596</v>
      </c>
      <c r="AV15" s="496">
        <v>10000</v>
      </c>
      <c r="AW15" s="496">
        <v>10000</v>
      </c>
      <c r="AX15" s="496">
        <v>15000000</v>
      </c>
      <c r="AY15" s="496">
        <v>15000000</v>
      </c>
      <c r="AZ15" s="496">
        <v>10000</v>
      </c>
      <c r="BA15" s="496">
        <v>10000</v>
      </c>
      <c r="BB15" s="496">
        <v>23765000</v>
      </c>
      <c r="BC15" s="496">
        <v>23765000</v>
      </c>
    </row>
    <row r="16" spans="1:55" ht="15.75" thickBot="1" x14ac:dyDescent="0.3">
      <c r="A16" s="716" t="s">
        <v>225</v>
      </c>
      <c r="B16" s="489">
        <v>4753156000</v>
      </c>
      <c r="C16" s="497">
        <v>8821346000</v>
      </c>
      <c r="D16" s="497">
        <v>1192314839000</v>
      </c>
      <c r="E16" s="497">
        <v>934399974000</v>
      </c>
      <c r="F16" s="497">
        <v>104671917000</v>
      </c>
      <c r="G16" s="497">
        <v>115140410000</v>
      </c>
      <c r="H16" s="717" t="s">
        <v>224</v>
      </c>
      <c r="I16" s="717" t="s">
        <v>224</v>
      </c>
      <c r="J16" s="497">
        <v>7148070001</v>
      </c>
      <c r="K16" s="497">
        <v>9103070000</v>
      </c>
      <c r="L16" s="717" t="s">
        <v>224</v>
      </c>
      <c r="M16" s="717" t="s">
        <v>224</v>
      </c>
      <c r="N16" s="497">
        <v>1003261000</v>
      </c>
      <c r="O16" s="497">
        <v>1548615000</v>
      </c>
      <c r="P16" s="497">
        <v>116062445000</v>
      </c>
      <c r="Q16" s="497">
        <v>81921666000</v>
      </c>
      <c r="R16" s="497">
        <v>-30748116000</v>
      </c>
      <c r="S16" s="497">
        <v>-25919150000</v>
      </c>
      <c r="T16" s="497">
        <v>85955247000</v>
      </c>
      <c r="U16" s="497">
        <v>56596179000</v>
      </c>
      <c r="V16" s="497">
        <v>-2363528000</v>
      </c>
      <c r="W16" s="497">
        <v>-2360671000</v>
      </c>
      <c r="X16" s="497">
        <v>35210383000</v>
      </c>
      <c r="Y16" s="497">
        <v>58542796000</v>
      </c>
      <c r="Z16" s="497">
        <v>-874036000</v>
      </c>
      <c r="AA16" s="497">
        <v>-4007886000</v>
      </c>
      <c r="AB16" s="497">
        <v>7475579668</v>
      </c>
      <c r="AC16" s="497">
        <v>8198657092</v>
      </c>
      <c r="AD16" s="497">
        <v>46715921333</v>
      </c>
      <c r="AE16" s="497">
        <v>81059857431</v>
      </c>
      <c r="AF16" s="497">
        <v>3571859466</v>
      </c>
      <c r="AG16" s="497">
        <v>19425371548</v>
      </c>
      <c r="AH16" s="497">
        <v>56740740000</v>
      </c>
      <c r="AI16" s="497">
        <v>68038391000</v>
      </c>
      <c r="AJ16" s="497">
        <v>9298542800</v>
      </c>
      <c r="AK16" s="497">
        <v>22147874160</v>
      </c>
      <c r="AL16" s="497">
        <v>-1821615000</v>
      </c>
      <c r="AM16" s="497">
        <v>5110768000</v>
      </c>
      <c r="AN16" s="497">
        <v>-70817987</v>
      </c>
      <c r="AO16" s="497">
        <v>-16204135</v>
      </c>
      <c r="AP16" s="497">
        <v>5527949600</v>
      </c>
      <c r="AQ16" s="497">
        <v>5527949600</v>
      </c>
      <c r="AR16" s="717" t="s">
        <v>224</v>
      </c>
      <c r="AS16" s="717" t="s">
        <v>224</v>
      </c>
      <c r="AT16" s="717" t="s">
        <v>224</v>
      </c>
      <c r="AU16" s="717" t="s">
        <v>224</v>
      </c>
      <c r="AV16" s="497">
        <v>5000</v>
      </c>
      <c r="AW16" s="497">
        <v>5000</v>
      </c>
      <c r="AX16" s="497">
        <v>-971047022</v>
      </c>
      <c r="AY16" s="497">
        <v>-1559810342</v>
      </c>
      <c r="AZ16" s="497">
        <v>109990000</v>
      </c>
      <c r="BA16" s="497">
        <v>109990000</v>
      </c>
      <c r="BB16" s="497">
        <v>218804211000</v>
      </c>
      <c r="BC16" s="497">
        <v>231429240000</v>
      </c>
    </row>
    <row r="17" spans="1:55" x14ac:dyDescent="0.25">
      <c r="A17" s="6" t="s">
        <v>20</v>
      </c>
    </row>
    <row r="18" spans="1:55" x14ac:dyDescent="0.25">
      <c r="A18" s="5" t="s">
        <v>21</v>
      </c>
    </row>
    <row r="19" spans="1:55" x14ac:dyDescent="0.25">
      <c r="A19" s="5" t="s">
        <v>22</v>
      </c>
    </row>
    <row r="20" spans="1:55" x14ac:dyDescent="0.25">
      <c r="A20" s="5" t="s">
        <v>23</v>
      </c>
    </row>
    <row r="21" spans="1:55" ht="15.75" thickBot="1" x14ac:dyDescent="0.3">
      <c r="A21" s="5" t="s">
        <v>24</v>
      </c>
    </row>
    <row r="22" spans="1:55" ht="15.75" thickBot="1" x14ac:dyDescent="0.3">
      <c r="A22" s="7" t="s">
        <v>25</v>
      </c>
      <c r="B22" s="619">
        <v>13453267000</v>
      </c>
      <c r="C22" s="496">
        <v>42553536000</v>
      </c>
      <c r="D22" s="496">
        <v>231572285000</v>
      </c>
      <c r="E22" s="496">
        <v>293070454000</v>
      </c>
      <c r="F22" s="496">
        <v>40234054000</v>
      </c>
      <c r="G22" s="496">
        <v>62684302000</v>
      </c>
      <c r="H22" s="502"/>
      <c r="I22" s="502"/>
      <c r="J22" s="502"/>
      <c r="K22" s="502"/>
      <c r="L22" s="496">
        <v>71363936872</v>
      </c>
      <c r="M22" s="496">
        <v>87345699632</v>
      </c>
      <c r="N22" s="496">
        <v>308023000</v>
      </c>
      <c r="O22" s="496">
        <v>344844000</v>
      </c>
      <c r="P22" s="535">
        <v>95662226000</v>
      </c>
      <c r="Q22" s="535">
        <v>144127405000</v>
      </c>
      <c r="R22" s="496">
        <v>15221258000</v>
      </c>
      <c r="S22" s="496">
        <v>33108469000</v>
      </c>
      <c r="T22" s="496">
        <v>145392539000</v>
      </c>
      <c r="U22" s="496">
        <v>162664566000</v>
      </c>
      <c r="V22" s="502"/>
      <c r="W22" s="502"/>
      <c r="X22" s="496">
        <v>94932806000</v>
      </c>
      <c r="Y22" s="496">
        <v>169908153000</v>
      </c>
      <c r="Z22" s="718" t="s">
        <v>224</v>
      </c>
      <c r="AA22" s="496">
        <v>5866705000</v>
      </c>
      <c r="AB22" s="496">
        <v>448542752821</v>
      </c>
      <c r="AC22" s="496">
        <v>529721250436</v>
      </c>
      <c r="AD22" s="496">
        <v>58965213853</v>
      </c>
      <c r="AE22" s="496">
        <v>54898329203</v>
      </c>
      <c r="AF22" s="496">
        <v>1833682673</v>
      </c>
      <c r="AG22" s="496">
        <v>4878208795</v>
      </c>
      <c r="AH22" s="496">
        <v>153895184000</v>
      </c>
      <c r="AI22" s="496">
        <v>171302076000</v>
      </c>
      <c r="AJ22" s="496">
        <v>30406454129</v>
      </c>
      <c r="AK22" s="496">
        <v>53679158904</v>
      </c>
      <c r="AL22" s="496">
        <v>46392439000</v>
      </c>
      <c r="AM22" s="496">
        <v>62333716000</v>
      </c>
      <c r="AN22" s="496">
        <v>4364091084</v>
      </c>
      <c r="AO22" s="496">
        <v>3317110889</v>
      </c>
      <c r="AP22" s="496">
        <v>226420362873</v>
      </c>
      <c r="AQ22" s="496">
        <v>242165033356</v>
      </c>
      <c r="AR22" s="496">
        <v>73117605430</v>
      </c>
      <c r="AS22" s="496">
        <v>100549390107</v>
      </c>
      <c r="AT22" s="496">
        <v>266235375859</v>
      </c>
      <c r="AU22" s="496">
        <v>260532924662</v>
      </c>
      <c r="AV22" s="496">
        <v>215481584260</v>
      </c>
      <c r="AW22" s="496">
        <v>228253115373</v>
      </c>
      <c r="AX22" s="502"/>
      <c r="AY22" s="496">
        <v>458038376</v>
      </c>
      <c r="AZ22" s="496">
        <v>342687443138</v>
      </c>
      <c r="BA22" s="496">
        <v>343285340463</v>
      </c>
      <c r="BB22" s="496">
        <v>575773323000</v>
      </c>
      <c r="BC22" s="496">
        <v>316184809000</v>
      </c>
    </row>
    <row r="23" spans="1:55" ht="15.75" thickBot="1" x14ac:dyDescent="0.3">
      <c r="A23" s="7" t="s">
        <v>26</v>
      </c>
      <c r="B23" s="619">
        <v>2852000</v>
      </c>
      <c r="C23" s="502"/>
      <c r="D23" s="496">
        <v>32607459000</v>
      </c>
      <c r="E23" s="496">
        <v>1287703000</v>
      </c>
      <c r="F23" s="496">
        <v>665301000</v>
      </c>
      <c r="G23" s="496">
        <v>6892977000</v>
      </c>
      <c r="H23" s="502"/>
      <c r="I23" s="502"/>
      <c r="J23" s="502"/>
      <c r="K23" s="502"/>
      <c r="L23" s="502"/>
      <c r="M23" s="502"/>
      <c r="N23" s="496">
        <v>512046000</v>
      </c>
      <c r="O23" s="496">
        <v>517330000</v>
      </c>
      <c r="P23" s="535">
        <v>23460648000</v>
      </c>
      <c r="Q23" s="535">
        <v>856760000</v>
      </c>
      <c r="R23" s="496">
        <v>945103000</v>
      </c>
      <c r="S23" s="496">
        <v>189274000</v>
      </c>
      <c r="T23" s="496">
        <v>433367000</v>
      </c>
      <c r="U23" s="496">
        <v>1608589000</v>
      </c>
      <c r="V23" s="496">
        <v>28485000</v>
      </c>
      <c r="W23" s="496">
        <v>23357000</v>
      </c>
      <c r="X23" s="496">
        <v>301472000</v>
      </c>
      <c r="Y23" s="496">
        <v>361079000</v>
      </c>
      <c r="Z23" s="496">
        <v>42894000</v>
      </c>
      <c r="AA23" s="496">
        <v>506936000</v>
      </c>
      <c r="AB23" s="502"/>
      <c r="AC23" s="502"/>
      <c r="AD23" s="496">
        <v>449588212</v>
      </c>
      <c r="AE23" s="496">
        <v>670714564</v>
      </c>
      <c r="AF23" s="496">
        <v>31271110</v>
      </c>
      <c r="AG23" s="496">
        <v>65082698</v>
      </c>
      <c r="AH23" s="496">
        <v>794872000</v>
      </c>
      <c r="AI23" s="496">
        <v>731361000</v>
      </c>
      <c r="AJ23" s="496">
        <v>150971831</v>
      </c>
      <c r="AK23" s="496">
        <v>258467427</v>
      </c>
      <c r="AL23" s="496">
        <v>476359000</v>
      </c>
      <c r="AM23" s="496">
        <v>700759000</v>
      </c>
      <c r="AN23" s="496">
        <v>1620457</v>
      </c>
      <c r="AO23" s="496">
        <v>1117555</v>
      </c>
      <c r="AP23" s="496">
        <v>402315084</v>
      </c>
      <c r="AQ23" s="496">
        <v>666970884</v>
      </c>
      <c r="AR23" s="496">
        <v>279804521</v>
      </c>
      <c r="AS23" s="496">
        <v>244851491</v>
      </c>
      <c r="AT23" s="502"/>
      <c r="AU23" s="502"/>
      <c r="AV23" s="496">
        <v>36147870850</v>
      </c>
      <c r="AW23" s="496">
        <v>39514643845</v>
      </c>
      <c r="AX23" s="496">
        <v>366772</v>
      </c>
      <c r="AY23" s="496">
        <v>2294393</v>
      </c>
      <c r="AZ23" s="502"/>
      <c r="BA23" s="502"/>
      <c r="BB23" s="496">
        <v>7397993000</v>
      </c>
      <c r="BC23" s="496">
        <v>28620004000</v>
      </c>
    </row>
    <row r="24" spans="1:55" x14ac:dyDescent="0.25">
      <c r="A24" s="5" t="s">
        <v>27</v>
      </c>
    </row>
    <row r="25" spans="1:55" ht="15.75" thickBot="1" x14ac:dyDescent="0.3">
      <c r="A25" s="5" t="s">
        <v>28</v>
      </c>
    </row>
    <row r="26" spans="1:55" ht="15.75" thickBot="1" x14ac:dyDescent="0.3">
      <c r="A26" s="6" t="s">
        <v>29</v>
      </c>
      <c r="B26" s="619">
        <v>8838687000</v>
      </c>
      <c r="C26" s="496">
        <v>32703981000</v>
      </c>
      <c r="D26" s="496">
        <v>171519768000</v>
      </c>
      <c r="E26" s="496">
        <v>174074558000</v>
      </c>
      <c r="F26" s="496">
        <v>31745642000</v>
      </c>
      <c r="G26" s="496">
        <v>40035159000</v>
      </c>
      <c r="H26" s="718" t="s">
        <v>224</v>
      </c>
      <c r="I26" s="718" t="s">
        <v>224</v>
      </c>
      <c r="J26" s="718" t="s">
        <v>224</v>
      </c>
      <c r="K26" s="718" t="s">
        <v>224</v>
      </c>
      <c r="L26" s="496">
        <v>33523865840</v>
      </c>
      <c r="M26" s="496">
        <v>42426266686</v>
      </c>
      <c r="N26" s="496">
        <v>410768000</v>
      </c>
      <c r="O26" s="496">
        <v>756866000</v>
      </c>
      <c r="P26" s="496">
        <v>83982389000</v>
      </c>
      <c r="Q26" s="496">
        <v>114097982000</v>
      </c>
      <c r="R26" s="496">
        <v>16620090000</v>
      </c>
      <c r="S26" s="496">
        <v>29282504000</v>
      </c>
      <c r="T26" s="496">
        <v>183238387000</v>
      </c>
      <c r="U26" s="496">
        <v>176566367000</v>
      </c>
      <c r="V26" s="496">
        <v>180632000</v>
      </c>
      <c r="W26" s="496">
        <v>20500000</v>
      </c>
      <c r="X26" s="496">
        <v>86557076000</v>
      </c>
      <c r="Y26" s="496">
        <v>119730289000</v>
      </c>
      <c r="Z26" s="496">
        <v>12431000</v>
      </c>
      <c r="AA26" s="496">
        <v>9985471000</v>
      </c>
      <c r="AB26" s="496">
        <v>435378580065</v>
      </c>
      <c r="AC26" s="496">
        <v>511108879672</v>
      </c>
      <c r="AD26" s="496">
        <v>37968307755</v>
      </c>
      <c r="AE26" s="496">
        <v>35817802493</v>
      </c>
      <c r="AF26" s="496">
        <v>1177757359</v>
      </c>
      <c r="AG26" s="496">
        <v>2215765767</v>
      </c>
      <c r="AH26" s="496">
        <v>95255196000</v>
      </c>
      <c r="AI26" s="496">
        <v>100394079000</v>
      </c>
      <c r="AJ26" s="496">
        <v>30852886635</v>
      </c>
      <c r="AK26" s="496">
        <v>57443231302</v>
      </c>
      <c r="AL26" s="496">
        <v>46128225000</v>
      </c>
      <c r="AM26" s="496">
        <v>55101912000</v>
      </c>
      <c r="AN26" s="496">
        <v>4289171853</v>
      </c>
      <c r="AO26" s="496">
        <v>3209563719</v>
      </c>
      <c r="AP26" s="496">
        <v>61629276318</v>
      </c>
      <c r="AQ26" s="496">
        <v>62524614538</v>
      </c>
      <c r="AR26" s="496">
        <v>64955276972</v>
      </c>
      <c r="AS26" s="496">
        <v>72998603860</v>
      </c>
      <c r="AT26" s="718" t="s">
        <v>224</v>
      </c>
      <c r="AU26" s="718" t="s">
        <v>224</v>
      </c>
      <c r="AV26" s="496">
        <v>30840426623</v>
      </c>
      <c r="AW26" s="496">
        <v>41549434331</v>
      </c>
      <c r="AX26" s="496">
        <v>373842077</v>
      </c>
      <c r="AY26" s="496">
        <v>2322828373</v>
      </c>
      <c r="AZ26" s="496">
        <v>47320905897</v>
      </c>
      <c r="BA26" s="496">
        <v>46359764301</v>
      </c>
      <c r="BB26" s="496">
        <v>497646746000</v>
      </c>
      <c r="BC26" s="496">
        <v>161504890000</v>
      </c>
    </row>
    <row r="27" spans="1:55" ht="15.75" thickBot="1" x14ac:dyDescent="0.3">
      <c r="A27" s="6" t="s">
        <v>30</v>
      </c>
      <c r="B27" s="619">
        <v>226585000</v>
      </c>
      <c r="C27" s="496">
        <v>3977255000</v>
      </c>
      <c r="D27" s="496">
        <v>5942230000</v>
      </c>
      <c r="E27" s="496">
        <v>126480889000</v>
      </c>
      <c r="F27" s="496">
        <v>3966357000</v>
      </c>
      <c r="G27" s="496">
        <v>1550943000</v>
      </c>
      <c r="H27" s="502"/>
      <c r="I27" s="502"/>
      <c r="J27" s="502"/>
      <c r="K27" s="502"/>
      <c r="L27" s="496">
        <v>73248710</v>
      </c>
      <c r="M27" s="496">
        <v>32868956</v>
      </c>
      <c r="N27" s="496">
        <v>1513205000</v>
      </c>
      <c r="O27" s="496">
        <v>3134327000</v>
      </c>
      <c r="P27" s="535">
        <v>1915825000</v>
      </c>
      <c r="Q27" s="535">
        <v>41276742000</v>
      </c>
      <c r="R27" s="496">
        <v>7000</v>
      </c>
      <c r="S27" s="496">
        <v>2899396000</v>
      </c>
      <c r="T27" s="496">
        <v>1008725000</v>
      </c>
      <c r="U27" s="496">
        <v>341000</v>
      </c>
      <c r="V27" s="496">
        <v>62005000</v>
      </c>
      <c r="W27" s="502"/>
      <c r="X27" s="496">
        <v>2589312000</v>
      </c>
      <c r="Y27" s="496">
        <v>5208074000</v>
      </c>
      <c r="Z27" s="496">
        <v>3724000</v>
      </c>
      <c r="AA27" s="502"/>
      <c r="AB27" s="496">
        <v>5831055787</v>
      </c>
      <c r="AC27" s="496">
        <v>10556176371</v>
      </c>
      <c r="AD27" s="496">
        <v>193426332</v>
      </c>
      <c r="AE27" s="496">
        <v>251255065</v>
      </c>
      <c r="AF27" s="496">
        <v>39655566</v>
      </c>
      <c r="AG27" s="496">
        <v>51045707</v>
      </c>
      <c r="AH27" s="496">
        <v>2694121000</v>
      </c>
      <c r="AI27" s="496">
        <v>3600967000</v>
      </c>
      <c r="AJ27" s="496">
        <v>186109890</v>
      </c>
      <c r="AK27" s="496">
        <v>526359405</v>
      </c>
      <c r="AL27" s="496">
        <v>427627000</v>
      </c>
      <c r="AM27" s="496">
        <v>1000180000</v>
      </c>
      <c r="AN27" s="496">
        <v>77689688</v>
      </c>
      <c r="AO27" s="496">
        <v>19979084</v>
      </c>
      <c r="AP27" s="496">
        <v>1127926286</v>
      </c>
      <c r="AQ27" s="496">
        <v>1202005544</v>
      </c>
      <c r="AR27" s="496">
        <v>887790297</v>
      </c>
      <c r="AS27" s="496">
        <v>733927686</v>
      </c>
      <c r="AT27" s="496">
        <v>945092026</v>
      </c>
      <c r="AU27" s="496">
        <v>2876880762</v>
      </c>
      <c r="AV27" s="496">
        <v>1545090165</v>
      </c>
      <c r="AW27" s="496">
        <v>2124178801</v>
      </c>
      <c r="AX27" s="496">
        <v>34798947</v>
      </c>
      <c r="AY27" s="496">
        <v>27311590</v>
      </c>
      <c r="AZ27" s="496">
        <v>295366537241</v>
      </c>
      <c r="BA27" s="496">
        <v>289806322504</v>
      </c>
      <c r="BB27" s="496">
        <v>23454410000</v>
      </c>
      <c r="BC27" s="502"/>
    </row>
    <row r="28" spans="1:55" ht="15.75" thickBot="1" x14ac:dyDescent="0.3">
      <c r="A28" s="6" t="s">
        <v>31</v>
      </c>
      <c r="B28" s="620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35">
        <v>-473758000</v>
      </c>
      <c r="S28" s="535">
        <v>-2478155000</v>
      </c>
      <c r="T28" s="502"/>
      <c r="U28" s="502"/>
      <c r="V28" s="502"/>
      <c r="W28" s="502"/>
      <c r="X28" s="502"/>
      <c r="Y28" s="535">
        <v>-10712147000</v>
      </c>
      <c r="Z28" s="535">
        <v>22000</v>
      </c>
      <c r="AA28" s="502"/>
      <c r="AB28" s="502"/>
      <c r="AC28" s="502"/>
      <c r="AD28" s="502"/>
      <c r="AE28" s="502"/>
      <c r="AF28" s="502"/>
      <c r="AG28" s="502"/>
      <c r="AH28" s="502"/>
      <c r="AI28" s="502"/>
      <c r="AJ28" s="502"/>
      <c r="AK28" s="502"/>
      <c r="AL28" s="502"/>
      <c r="AM28" s="502"/>
      <c r="AN28" s="535">
        <v>-23093</v>
      </c>
      <c r="AO28" s="535">
        <v>-34071789</v>
      </c>
      <c r="AP28" s="502"/>
      <c r="AQ28" s="502"/>
      <c r="AR28" s="502"/>
      <c r="AS28" s="502"/>
      <c r="AT28" s="502"/>
      <c r="AU28" s="502"/>
      <c r="AV28" s="502"/>
      <c r="AW28" s="502"/>
      <c r="AX28" s="502"/>
      <c r="AY28" s="502"/>
      <c r="AZ28" s="502"/>
      <c r="BA28" s="535">
        <v>-7119253658</v>
      </c>
      <c r="BB28" s="502"/>
      <c r="BC28" s="502"/>
    </row>
    <row r="29" spans="1:55" ht="15.75" thickBot="1" x14ac:dyDescent="0.3">
      <c r="A29" s="16" t="s">
        <v>32</v>
      </c>
    </row>
    <row r="30" spans="1:55" x14ac:dyDescent="0.25">
      <c r="A30" s="51" t="s">
        <v>33</v>
      </c>
      <c r="B30" s="617">
        <v>4614580000</v>
      </c>
      <c r="C30" s="617">
        <v>9849555000</v>
      </c>
      <c r="D30" s="617">
        <v>60052517000</v>
      </c>
      <c r="E30" s="617">
        <v>118995896000</v>
      </c>
      <c r="F30" s="617">
        <v>8488412000</v>
      </c>
      <c r="G30" s="617">
        <v>22649143000</v>
      </c>
      <c r="H30" t="s">
        <v>224</v>
      </c>
      <c r="I30" t="s">
        <v>224</v>
      </c>
      <c r="J30" t="s">
        <v>224</v>
      </c>
      <c r="K30" t="s">
        <v>224</v>
      </c>
      <c r="L30" s="617">
        <v>37840071032</v>
      </c>
      <c r="M30" s="617">
        <v>44919432946</v>
      </c>
      <c r="N30" s="617">
        <v>-102745000</v>
      </c>
      <c r="O30" s="617">
        <v>-412022000</v>
      </c>
      <c r="P30" s="617">
        <v>11679837000</v>
      </c>
      <c r="Q30" s="617">
        <v>30029423000</v>
      </c>
      <c r="R30" s="617">
        <v>-1398832000</v>
      </c>
      <c r="S30" s="617">
        <v>3825965000</v>
      </c>
      <c r="T30" s="617">
        <v>-37845848000</v>
      </c>
      <c r="U30" s="617">
        <v>-13901801000</v>
      </c>
      <c r="V30" s="617">
        <v>-180632000</v>
      </c>
      <c r="W30" s="617">
        <v>-20500000</v>
      </c>
      <c r="X30" s="617">
        <v>8375730000</v>
      </c>
      <c r="Y30" s="617">
        <v>50177864000</v>
      </c>
      <c r="Z30" s="617">
        <v>-12431000</v>
      </c>
      <c r="AA30" s="617">
        <v>-4118766000</v>
      </c>
      <c r="AB30" s="617">
        <v>13164172756</v>
      </c>
      <c r="AC30" s="617">
        <v>18612370764</v>
      </c>
      <c r="AD30" s="617">
        <v>20996906098</v>
      </c>
      <c r="AE30" s="617">
        <v>19080526710</v>
      </c>
      <c r="AF30" s="617">
        <v>655925314</v>
      </c>
      <c r="AG30" s="617">
        <v>2662443028</v>
      </c>
      <c r="AH30" s="617">
        <v>58639988000</v>
      </c>
      <c r="AI30" s="617">
        <v>70907997000</v>
      </c>
      <c r="AJ30" s="617">
        <v>-446432506</v>
      </c>
      <c r="AK30" s="617">
        <v>-3764072398</v>
      </c>
      <c r="AL30" s="617">
        <v>264214000</v>
      </c>
      <c r="AM30" s="617">
        <v>7231804000</v>
      </c>
      <c r="AN30" s="617">
        <v>74919231</v>
      </c>
      <c r="AO30" s="617">
        <v>107547170</v>
      </c>
      <c r="AP30" s="617">
        <v>164791086555</v>
      </c>
      <c r="AQ30" s="617">
        <v>179640418818</v>
      </c>
      <c r="AR30" s="617">
        <v>8162328458</v>
      </c>
      <c r="AS30" s="617">
        <v>27550786247</v>
      </c>
      <c r="AT30" s="617">
        <v>266235375859</v>
      </c>
      <c r="AU30" s="617">
        <v>260532924662</v>
      </c>
      <c r="AV30" s="617">
        <v>184641157637</v>
      </c>
      <c r="AW30" s="617">
        <v>186703681042</v>
      </c>
      <c r="AX30" s="617">
        <v>-373842077</v>
      </c>
      <c r="AY30" s="617">
        <v>-1864789997</v>
      </c>
      <c r="AZ30" s="617">
        <v>295366537241</v>
      </c>
      <c r="BA30" s="617">
        <v>296925576162</v>
      </c>
      <c r="BB30" s="617">
        <v>78126577000</v>
      </c>
      <c r="BC30" s="617">
        <v>154679919000</v>
      </c>
    </row>
    <row r="31" spans="1:55" ht="15.75" thickBot="1" x14ac:dyDescent="0.3">
      <c r="A31" s="46" t="s">
        <v>34</v>
      </c>
      <c r="B31" s="617">
        <v>4390847000</v>
      </c>
      <c r="C31" s="617">
        <v>5872300000</v>
      </c>
      <c r="D31" s="617">
        <v>86717746000</v>
      </c>
      <c r="E31" s="617">
        <v>-6197290000</v>
      </c>
      <c r="F31" s="617">
        <v>5187356000</v>
      </c>
      <c r="G31" s="617">
        <v>27991177000</v>
      </c>
      <c r="H31" t="s">
        <v>224</v>
      </c>
      <c r="I31" t="s">
        <v>224</v>
      </c>
      <c r="J31" t="s">
        <v>224</v>
      </c>
      <c r="K31" t="s">
        <v>224</v>
      </c>
      <c r="L31" s="617">
        <v>37766822322</v>
      </c>
      <c r="M31" s="617">
        <v>44886563990</v>
      </c>
      <c r="N31" s="617">
        <v>-1103904000</v>
      </c>
      <c r="O31" s="617">
        <v>-3029019000</v>
      </c>
      <c r="P31" s="617">
        <v>33224660000</v>
      </c>
      <c r="Q31" s="617">
        <v>-10390559000</v>
      </c>
      <c r="R31" s="617">
        <v>-927494000</v>
      </c>
      <c r="S31" s="617">
        <v>-1362312000</v>
      </c>
      <c r="T31" s="617">
        <v>-38421206000</v>
      </c>
      <c r="U31" s="617">
        <v>-12293553000</v>
      </c>
      <c r="V31" s="617">
        <v>-214152000</v>
      </c>
      <c r="W31" s="617">
        <v>2857000</v>
      </c>
      <c r="X31" s="617">
        <v>6087890000</v>
      </c>
      <c r="Y31" s="617">
        <v>34618722000</v>
      </c>
      <c r="Z31" s="617">
        <v>26761000</v>
      </c>
      <c r="AA31" s="617">
        <v>-3611830000</v>
      </c>
      <c r="AB31" s="617">
        <v>7333116969</v>
      </c>
      <c r="AC31" s="617">
        <v>8056194393</v>
      </c>
      <c r="AD31" s="617">
        <v>21253067978</v>
      </c>
      <c r="AE31" s="617">
        <v>19499986209</v>
      </c>
      <c r="AF31" s="617">
        <v>647540858</v>
      </c>
      <c r="AG31" s="617">
        <v>2676480019</v>
      </c>
      <c r="AH31" s="617">
        <v>56740739000</v>
      </c>
      <c r="AI31" s="617">
        <v>68038391000</v>
      </c>
      <c r="AJ31" s="617">
        <v>-481570565</v>
      </c>
      <c r="AK31" s="617">
        <v>-4031964376</v>
      </c>
      <c r="AL31" s="617">
        <v>312946000</v>
      </c>
      <c r="AM31" s="617">
        <v>6932383000</v>
      </c>
      <c r="AN31" s="617">
        <v>-1173093</v>
      </c>
      <c r="AO31" s="617">
        <v>54613852</v>
      </c>
      <c r="AP31" s="617">
        <v>164065475353</v>
      </c>
      <c r="AQ31" s="617">
        <v>179105384158</v>
      </c>
      <c r="AR31" s="617">
        <v>7554342682</v>
      </c>
      <c r="AS31" s="617">
        <v>27061710052</v>
      </c>
      <c r="AT31" s="617">
        <v>265290283833</v>
      </c>
      <c r="AU31" s="617">
        <v>257656043900</v>
      </c>
      <c r="AV31" s="617">
        <v>219243938322</v>
      </c>
      <c r="AW31" s="617">
        <v>224094146086</v>
      </c>
      <c r="AX31" s="617">
        <v>-408274252</v>
      </c>
      <c r="AY31" s="617">
        <v>-1889807194</v>
      </c>
      <c r="AZ31" t="s">
        <v>224</v>
      </c>
      <c r="BA31" t="s">
        <v>224</v>
      </c>
      <c r="BB31" s="617">
        <v>62070160000</v>
      </c>
      <c r="BC31" s="617">
        <v>183299923000</v>
      </c>
    </row>
  </sheetData>
  <mergeCells count="55">
    <mergeCell ref="AT2:AU2"/>
    <mergeCell ref="AV2:AW2"/>
    <mergeCell ref="AX2:AY2"/>
    <mergeCell ref="AZ2:BA2"/>
    <mergeCell ref="BB2:BC2"/>
    <mergeCell ref="AH2:AI2"/>
    <mergeCell ref="AJ2:AK2"/>
    <mergeCell ref="AL2:AM2"/>
    <mergeCell ref="AN2:AO2"/>
    <mergeCell ref="AP2:AQ2"/>
    <mergeCell ref="AR2:AS2"/>
    <mergeCell ref="V2:W2"/>
    <mergeCell ref="X2:Y2"/>
    <mergeCell ref="Z2:AA2"/>
    <mergeCell ref="AB2:AC2"/>
    <mergeCell ref="AD2:AE2"/>
    <mergeCell ref="AF2:AG2"/>
    <mergeCell ref="J2:K2"/>
    <mergeCell ref="L2:M2"/>
    <mergeCell ref="N2:O2"/>
    <mergeCell ref="P2:Q2"/>
    <mergeCell ref="R2:S2"/>
    <mergeCell ref="T2:U2"/>
    <mergeCell ref="AT1:AU1"/>
    <mergeCell ref="AV1:AW1"/>
    <mergeCell ref="AX1:AY1"/>
    <mergeCell ref="AZ1:BA1"/>
    <mergeCell ref="BB1:BC1"/>
    <mergeCell ref="AH1:AI1"/>
    <mergeCell ref="AJ1:AK1"/>
    <mergeCell ref="AL1:AM1"/>
    <mergeCell ref="AN1:AO1"/>
    <mergeCell ref="AP1:AQ1"/>
    <mergeCell ref="AR1:AS1"/>
    <mergeCell ref="V1:W1"/>
    <mergeCell ref="X1:Y1"/>
    <mergeCell ref="Z1:AA1"/>
    <mergeCell ref="AB1:AC1"/>
    <mergeCell ref="AD1:AE1"/>
    <mergeCell ref="AF1:AG1"/>
    <mergeCell ref="J1:K1"/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5E8B-408E-4761-95F3-987F396279F5}">
  <dimension ref="A1:AP32"/>
  <sheetViews>
    <sheetView topLeftCell="V1" workbookViewId="0">
      <selection activeCell="AQ13" sqref="AQ13"/>
    </sheetView>
  </sheetViews>
  <sheetFormatPr baseColWidth="10" defaultRowHeight="15" x14ac:dyDescent="0.25"/>
  <cols>
    <col min="1" max="1" width="33.85546875" bestFit="1" customWidth="1"/>
  </cols>
  <sheetData>
    <row r="1" spans="1:42" ht="15.75" customHeight="1" thickBot="1" x14ac:dyDescent="0.3">
      <c r="A1" s="582" t="s">
        <v>0</v>
      </c>
      <c r="B1" s="555" t="s">
        <v>38</v>
      </c>
      <c r="C1" s="556"/>
      <c r="D1" s="556"/>
      <c r="E1" s="556"/>
      <c r="F1" s="557"/>
      <c r="G1" s="555" t="s">
        <v>39</v>
      </c>
      <c r="H1" s="556"/>
      <c r="I1" s="556"/>
      <c r="J1" s="556"/>
      <c r="K1" s="557"/>
      <c r="L1" s="555" t="s">
        <v>40</v>
      </c>
      <c r="M1" s="556"/>
      <c r="N1" s="556"/>
      <c r="O1" s="556"/>
      <c r="P1" s="557"/>
      <c r="Q1" s="541" t="s">
        <v>38</v>
      </c>
      <c r="R1" s="542"/>
      <c r="S1" s="541" t="s">
        <v>39</v>
      </c>
      <c r="T1" s="542"/>
      <c r="U1" s="541" t="s">
        <v>40</v>
      </c>
      <c r="V1" s="584"/>
      <c r="W1" s="558" t="s">
        <v>117</v>
      </c>
      <c r="X1" s="559"/>
      <c r="Y1" s="558" t="s">
        <v>39</v>
      </c>
      <c r="Z1" s="559"/>
      <c r="AA1" s="558" t="s">
        <v>40</v>
      </c>
      <c r="AB1" s="581"/>
      <c r="AC1" s="563" t="s">
        <v>39</v>
      </c>
      <c r="AD1" s="564"/>
      <c r="AE1" s="563" t="s">
        <v>40</v>
      </c>
      <c r="AF1" s="580"/>
      <c r="AG1" s="558" t="s">
        <v>39</v>
      </c>
      <c r="AH1" s="559"/>
      <c r="AI1" s="558" t="s">
        <v>40</v>
      </c>
      <c r="AJ1" s="581"/>
      <c r="AK1" s="558" t="s">
        <v>142</v>
      </c>
      <c r="AL1" s="559"/>
      <c r="AM1" s="558" t="s">
        <v>39</v>
      </c>
      <c r="AN1" s="559"/>
      <c r="AO1" s="558" t="s">
        <v>40</v>
      </c>
      <c r="AP1" s="581"/>
    </row>
    <row r="2" spans="1:42" ht="15.75" thickBot="1" x14ac:dyDescent="0.3">
      <c r="A2" s="583"/>
      <c r="B2" s="22">
        <v>2008</v>
      </c>
      <c r="C2" s="22">
        <v>2009</v>
      </c>
      <c r="D2" s="22">
        <v>2010</v>
      </c>
      <c r="E2" s="22">
        <v>2011</v>
      </c>
      <c r="F2" s="22">
        <v>2012</v>
      </c>
      <c r="G2" s="22">
        <v>2008</v>
      </c>
      <c r="H2" s="22">
        <v>2009</v>
      </c>
      <c r="I2" s="22">
        <v>2010</v>
      </c>
      <c r="J2" s="22">
        <v>2011</v>
      </c>
      <c r="K2" s="22">
        <v>2012</v>
      </c>
      <c r="L2" s="22">
        <v>2008</v>
      </c>
      <c r="M2" s="22">
        <v>2009</v>
      </c>
      <c r="N2" s="22">
        <v>2010</v>
      </c>
      <c r="O2" s="22">
        <v>2011</v>
      </c>
      <c r="P2" s="22">
        <v>2012</v>
      </c>
      <c r="Q2" s="217">
        <v>2012</v>
      </c>
      <c r="R2" s="217">
        <v>2013</v>
      </c>
      <c r="S2" s="217">
        <v>2012</v>
      </c>
      <c r="T2" s="217">
        <v>2013</v>
      </c>
      <c r="U2" s="217">
        <v>2012</v>
      </c>
      <c r="V2" s="217">
        <v>2013</v>
      </c>
      <c r="W2" s="273">
        <v>2013</v>
      </c>
      <c r="X2" s="273">
        <v>2014</v>
      </c>
      <c r="Y2" s="273">
        <v>2013</v>
      </c>
      <c r="Z2" s="273">
        <v>2014</v>
      </c>
      <c r="AA2" s="273">
        <v>2013</v>
      </c>
      <c r="AB2" s="273">
        <v>2014</v>
      </c>
      <c r="AC2" s="330">
        <v>2014</v>
      </c>
      <c r="AD2" s="330">
        <v>2015</v>
      </c>
      <c r="AE2" s="330">
        <v>2014</v>
      </c>
      <c r="AF2" s="330">
        <v>2015</v>
      </c>
      <c r="AG2" s="273">
        <v>2015</v>
      </c>
      <c r="AH2" s="273">
        <v>2016</v>
      </c>
      <c r="AI2" s="273">
        <v>2015</v>
      </c>
      <c r="AJ2" s="273">
        <v>2016</v>
      </c>
      <c r="AK2" s="273">
        <v>2016</v>
      </c>
      <c r="AL2" s="273">
        <v>2017</v>
      </c>
      <c r="AM2" s="273">
        <v>2016</v>
      </c>
      <c r="AN2" s="273">
        <v>2017</v>
      </c>
      <c r="AO2" s="273">
        <v>2016</v>
      </c>
      <c r="AP2" s="273">
        <v>2017</v>
      </c>
    </row>
    <row r="3" spans="1:42" ht="15.75" x14ac:dyDescent="0.25">
      <c r="A3" s="70" t="s">
        <v>5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348"/>
      <c r="AD3" s="348"/>
      <c r="AE3" s="348"/>
      <c r="AF3" s="348"/>
      <c r="AG3" s="26"/>
      <c r="AH3" s="26"/>
      <c r="AI3" s="26"/>
      <c r="AJ3" s="26"/>
      <c r="AK3" s="26"/>
      <c r="AL3" s="26"/>
      <c r="AM3" s="26"/>
      <c r="AN3" s="26"/>
      <c r="AO3" s="26"/>
      <c r="AP3" s="26"/>
    </row>
    <row r="4" spans="1:42" x14ac:dyDescent="0.25">
      <c r="A4" s="71" t="s">
        <v>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51"/>
      <c r="AD4" s="351"/>
      <c r="AE4" s="351"/>
      <c r="AF4" s="351"/>
      <c r="AG4" s="30"/>
      <c r="AH4" s="30"/>
      <c r="AI4" s="30"/>
      <c r="AJ4" s="30"/>
      <c r="AK4" s="30"/>
      <c r="AL4" s="30"/>
      <c r="AM4" s="30"/>
      <c r="AN4" s="30"/>
      <c r="AO4" s="30"/>
      <c r="AP4" s="30"/>
    </row>
    <row r="5" spans="1:42" x14ac:dyDescent="0.25">
      <c r="A5" s="69" t="s">
        <v>7</v>
      </c>
      <c r="B5" s="75">
        <v>678690.48400000005</v>
      </c>
      <c r="C5" s="75">
        <v>621519.95600000001</v>
      </c>
      <c r="D5" s="75">
        <v>209736</v>
      </c>
      <c r="E5" s="75">
        <v>925435</v>
      </c>
      <c r="F5" s="75">
        <v>1075165</v>
      </c>
      <c r="G5" s="75">
        <v>14571960</v>
      </c>
      <c r="H5" s="75">
        <v>10841111</v>
      </c>
      <c r="I5" s="75">
        <v>10820448</v>
      </c>
      <c r="J5" s="75">
        <v>14736972</v>
      </c>
      <c r="K5" s="75">
        <v>15620146</v>
      </c>
      <c r="L5" s="75">
        <v>1063992.2209999999</v>
      </c>
      <c r="M5" s="75">
        <v>4539860.2130000005</v>
      </c>
      <c r="N5" s="75">
        <v>6323720</v>
      </c>
      <c r="O5" s="75">
        <v>3372288</v>
      </c>
      <c r="P5" s="75">
        <v>2456977</v>
      </c>
      <c r="Q5" s="75">
        <v>1075165</v>
      </c>
      <c r="R5" s="75"/>
      <c r="S5" s="75">
        <v>15620146</v>
      </c>
      <c r="T5" s="75">
        <v>14159940</v>
      </c>
      <c r="U5" s="75">
        <v>2456977</v>
      </c>
      <c r="V5" s="75">
        <v>4935844</v>
      </c>
      <c r="W5" s="75">
        <v>1075165</v>
      </c>
      <c r="X5" s="75"/>
      <c r="Y5" s="75">
        <v>14159940</v>
      </c>
      <c r="Z5" s="75">
        <v>18534540</v>
      </c>
      <c r="AA5" s="75">
        <v>4935844</v>
      </c>
      <c r="AB5" s="75">
        <v>3821292</v>
      </c>
      <c r="AC5" s="377">
        <v>18534540</v>
      </c>
      <c r="AD5" s="377">
        <v>12627832</v>
      </c>
      <c r="AE5" s="377">
        <v>824087</v>
      </c>
      <c r="AF5" s="377">
        <v>2470136</v>
      </c>
      <c r="AG5" s="75">
        <v>12837950</v>
      </c>
      <c r="AH5" s="75">
        <v>12342989</v>
      </c>
      <c r="AI5" s="75">
        <v>2470136</v>
      </c>
      <c r="AJ5" s="75">
        <v>2573609</v>
      </c>
      <c r="AK5" s="75">
        <v>863595</v>
      </c>
      <c r="AL5" s="75">
        <v>952014</v>
      </c>
      <c r="AM5" s="75">
        <v>12342989</v>
      </c>
      <c r="AN5" s="75">
        <v>17808293</v>
      </c>
      <c r="AO5" s="75">
        <v>2573609</v>
      </c>
      <c r="AP5" s="75">
        <v>4073814</v>
      </c>
    </row>
    <row r="6" spans="1:42" x14ac:dyDescent="0.25">
      <c r="A6" s="69" t="s">
        <v>8</v>
      </c>
      <c r="B6" s="75">
        <v>269239.71999999997</v>
      </c>
      <c r="C6" s="75">
        <v>265150.29499999998</v>
      </c>
      <c r="D6" s="75">
        <v>729746</v>
      </c>
      <c r="E6" s="75">
        <v>127474</v>
      </c>
      <c r="F6" s="75">
        <v>150283</v>
      </c>
      <c r="G6" s="75">
        <v>594104</v>
      </c>
      <c r="H6" s="75">
        <v>22368029</v>
      </c>
      <c r="I6" s="75">
        <v>51584014</v>
      </c>
      <c r="J6" s="75">
        <v>34213279</v>
      </c>
      <c r="K6" s="75">
        <v>47125703</v>
      </c>
      <c r="L6" s="75">
        <v>683540.74800000002</v>
      </c>
      <c r="M6" s="75">
        <v>662958.88199999998</v>
      </c>
      <c r="N6" s="75">
        <v>18674001</v>
      </c>
      <c r="O6" s="75">
        <v>2656533</v>
      </c>
      <c r="P6" s="75">
        <v>4344131</v>
      </c>
      <c r="Q6" s="75">
        <v>150283</v>
      </c>
      <c r="R6" s="75"/>
      <c r="S6" s="75">
        <v>47125703</v>
      </c>
      <c r="T6" s="75">
        <v>61070619</v>
      </c>
      <c r="U6" s="75">
        <v>4344131</v>
      </c>
      <c r="V6" s="75">
        <v>6855879</v>
      </c>
      <c r="W6" s="75">
        <v>150283</v>
      </c>
      <c r="X6" s="75"/>
      <c r="Y6" s="75">
        <v>61070619</v>
      </c>
      <c r="Z6" s="75">
        <v>1029335</v>
      </c>
      <c r="AA6" s="75">
        <v>6855879</v>
      </c>
      <c r="AB6" s="75">
        <v>6803258</v>
      </c>
      <c r="AC6" s="377">
        <v>1029335</v>
      </c>
      <c r="AD6" s="377">
        <v>3248435</v>
      </c>
      <c r="AE6" s="377">
        <v>6831057</v>
      </c>
      <c r="AF6" s="377">
        <v>6693048</v>
      </c>
      <c r="AG6" s="75">
        <v>4296791</v>
      </c>
      <c r="AH6" s="75">
        <v>5548930</v>
      </c>
      <c r="AI6" s="75">
        <v>6693048</v>
      </c>
      <c r="AJ6" s="75">
        <v>28089734</v>
      </c>
      <c r="AK6" s="75">
        <v>161078</v>
      </c>
      <c r="AL6" s="75">
        <v>150849</v>
      </c>
      <c r="AM6" s="75">
        <v>5548930</v>
      </c>
      <c r="AN6" s="75">
        <v>8334088</v>
      </c>
      <c r="AO6" s="75">
        <v>28089734</v>
      </c>
      <c r="AP6" s="75">
        <v>27353397</v>
      </c>
    </row>
    <row r="7" spans="1:42" x14ac:dyDescent="0.25">
      <c r="A7" s="69" t="s">
        <v>9</v>
      </c>
      <c r="B7" s="75">
        <v>392951.277</v>
      </c>
      <c r="C7" s="75">
        <v>398034.80800000002</v>
      </c>
      <c r="D7" s="75">
        <v>481001</v>
      </c>
      <c r="E7" s="75">
        <v>113857</v>
      </c>
      <c r="F7" s="75">
        <v>250679</v>
      </c>
      <c r="G7" s="75">
        <v>0</v>
      </c>
      <c r="H7" s="75">
        <v>0</v>
      </c>
      <c r="I7" s="75">
        <v>0</v>
      </c>
      <c r="J7" s="75">
        <v>32608671</v>
      </c>
      <c r="K7" s="75">
        <v>45214943</v>
      </c>
      <c r="L7" s="75">
        <v>5461793.4740000004</v>
      </c>
      <c r="M7" s="75">
        <v>19028224.410999998</v>
      </c>
      <c r="N7" s="75">
        <v>0</v>
      </c>
      <c r="O7" s="75">
        <v>17057615</v>
      </c>
      <c r="P7" s="75">
        <v>19950344</v>
      </c>
      <c r="Q7" s="75">
        <v>250679</v>
      </c>
      <c r="R7" s="75"/>
      <c r="S7" s="75">
        <v>45214943</v>
      </c>
      <c r="T7" s="75">
        <v>32916847</v>
      </c>
      <c r="U7" s="75">
        <v>19950344</v>
      </c>
      <c r="V7" s="75">
        <v>14369252</v>
      </c>
      <c r="W7" s="75">
        <v>250679</v>
      </c>
      <c r="X7" s="75"/>
      <c r="Y7" s="75">
        <v>32916847</v>
      </c>
      <c r="Z7" s="75">
        <v>7966723</v>
      </c>
      <c r="AA7" s="75">
        <v>14369252</v>
      </c>
      <c r="AB7" s="75">
        <v>16414411</v>
      </c>
      <c r="AC7" s="377">
        <v>7966723</v>
      </c>
      <c r="AD7" s="377">
        <v>8133702</v>
      </c>
      <c r="AE7" s="377">
        <f>24330416-AE6</f>
        <v>17499359</v>
      </c>
      <c r="AF7" s="377">
        <f>20573167-AF6</f>
        <v>13880119</v>
      </c>
      <c r="AG7" s="75">
        <v>596749</v>
      </c>
      <c r="AH7" s="75">
        <v>548411</v>
      </c>
      <c r="AI7" s="75">
        <v>13880119</v>
      </c>
      <c r="AJ7" s="75">
        <v>2616685</v>
      </c>
      <c r="AK7" s="75">
        <v>164280</v>
      </c>
      <c r="AL7" s="75">
        <v>217411</v>
      </c>
      <c r="AM7" s="75">
        <v>548411</v>
      </c>
      <c r="AN7" s="75">
        <v>517644</v>
      </c>
      <c r="AO7" s="75">
        <v>2616685</v>
      </c>
      <c r="AP7" s="75">
        <v>2117794</v>
      </c>
    </row>
    <row r="8" spans="1:42" x14ac:dyDescent="0.25">
      <c r="A8" s="71" t="s">
        <v>10</v>
      </c>
      <c r="B8" s="76">
        <v>1340881.4810000001</v>
      </c>
      <c r="C8" s="76">
        <v>1284705.0589999999</v>
      </c>
      <c r="D8" s="76">
        <v>1420483</v>
      </c>
      <c r="E8" s="76">
        <v>1166766</v>
      </c>
      <c r="F8" s="76">
        <v>1476127</v>
      </c>
      <c r="G8" s="76">
        <v>15166064</v>
      </c>
      <c r="H8" s="76">
        <v>33209140</v>
      </c>
      <c r="I8" s="76">
        <v>62404462</v>
      </c>
      <c r="J8" s="76">
        <v>81558922</v>
      </c>
      <c r="K8" s="76">
        <v>107960792</v>
      </c>
      <c r="L8" s="76">
        <v>7209326.443</v>
      </c>
      <c r="M8" s="76">
        <v>24231043.505999997</v>
      </c>
      <c r="N8" s="76">
        <v>24997721</v>
      </c>
      <c r="O8" s="76">
        <v>23086436</v>
      </c>
      <c r="P8" s="76">
        <v>26751452</v>
      </c>
      <c r="Q8" s="76">
        <v>1476127</v>
      </c>
      <c r="R8" s="76">
        <v>0</v>
      </c>
      <c r="S8" s="76">
        <v>107960792</v>
      </c>
      <c r="T8" s="76">
        <v>108147406</v>
      </c>
      <c r="U8" s="76">
        <v>26751452</v>
      </c>
      <c r="V8" s="76">
        <v>26160975</v>
      </c>
      <c r="W8" s="76">
        <v>1476127</v>
      </c>
      <c r="X8" s="76">
        <v>0</v>
      </c>
      <c r="Y8" s="76">
        <v>108147406</v>
      </c>
      <c r="Z8" s="76">
        <v>27530598</v>
      </c>
      <c r="AA8" s="76">
        <v>26160975</v>
      </c>
      <c r="AB8" s="76">
        <v>27038961</v>
      </c>
      <c r="AC8" s="378">
        <v>27530598</v>
      </c>
      <c r="AD8" s="378">
        <f>SUM(AD5:AD7)</f>
        <v>24009969</v>
      </c>
      <c r="AE8" s="378">
        <f>SUM(AE5:AE7)</f>
        <v>25154503</v>
      </c>
      <c r="AF8" s="378">
        <f>SUM(AF5:AF7)</f>
        <v>23043303</v>
      </c>
      <c r="AG8" s="76">
        <v>17731490</v>
      </c>
      <c r="AH8" s="76">
        <v>18440330</v>
      </c>
      <c r="AI8" s="76">
        <v>23043303</v>
      </c>
      <c r="AJ8" s="76">
        <v>33280028</v>
      </c>
      <c r="AK8" s="76">
        <v>1188953</v>
      </c>
      <c r="AL8" s="76">
        <v>1320274</v>
      </c>
      <c r="AM8" s="76">
        <v>18440330</v>
      </c>
      <c r="AN8" s="76">
        <v>26660025</v>
      </c>
      <c r="AO8" s="76">
        <v>33280028</v>
      </c>
      <c r="AP8" s="76">
        <v>33545005</v>
      </c>
    </row>
    <row r="9" spans="1:42" x14ac:dyDescent="0.25">
      <c r="A9" s="71" t="s">
        <v>11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379"/>
      <c r="AD9" s="379"/>
      <c r="AE9" s="379"/>
      <c r="AF9" s="379"/>
      <c r="AG9" s="77"/>
      <c r="AH9" s="77"/>
      <c r="AI9" s="77"/>
      <c r="AJ9" s="77"/>
      <c r="AK9" s="77"/>
      <c r="AL9" s="77"/>
      <c r="AM9" s="77"/>
      <c r="AN9" s="77"/>
      <c r="AO9" s="77"/>
      <c r="AP9" s="77"/>
    </row>
    <row r="10" spans="1:42" x14ac:dyDescent="0.25">
      <c r="A10" s="69" t="s">
        <v>12</v>
      </c>
      <c r="B10" s="75">
        <v>288982.91200000001</v>
      </c>
      <c r="C10" s="75">
        <v>263119.53899999999</v>
      </c>
      <c r="D10" s="75">
        <v>192568</v>
      </c>
      <c r="E10" s="75">
        <v>226076</v>
      </c>
      <c r="F10" s="75">
        <v>616473</v>
      </c>
      <c r="G10" s="75">
        <v>11868695</v>
      </c>
      <c r="H10" s="75">
        <v>10650522</v>
      </c>
      <c r="I10" s="75">
        <v>11686703</v>
      </c>
      <c r="J10" s="75">
        <v>12223456</v>
      </c>
      <c r="K10" s="75">
        <v>18368957</v>
      </c>
      <c r="L10" s="75">
        <v>3204335.2170000002</v>
      </c>
      <c r="M10" s="75">
        <v>14739643.131999999</v>
      </c>
      <c r="N10" s="75">
        <v>1917262</v>
      </c>
      <c r="O10" s="75">
        <v>1838877</v>
      </c>
      <c r="P10" s="75">
        <v>2973510</v>
      </c>
      <c r="Q10" s="75">
        <v>616473</v>
      </c>
      <c r="R10" s="75"/>
      <c r="S10" s="75">
        <v>18368957</v>
      </c>
      <c r="T10" s="75">
        <v>13439846</v>
      </c>
      <c r="U10" s="75">
        <v>2973510</v>
      </c>
      <c r="V10" s="75">
        <v>2286599</v>
      </c>
      <c r="W10" s="75">
        <v>616473</v>
      </c>
      <c r="X10" s="75"/>
      <c r="Y10" s="75">
        <v>13439846</v>
      </c>
      <c r="Z10" s="75">
        <v>6061641</v>
      </c>
      <c r="AA10" s="75">
        <v>2286599</v>
      </c>
      <c r="AB10" s="75">
        <v>787045</v>
      </c>
      <c r="AC10" s="377">
        <v>6061641</v>
      </c>
      <c r="AD10" s="377">
        <v>4683726</v>
      </c>
      <c r="AE10" s="377">
        <v>3780203</v>
      </c>
      <c r="AF10" s="377">
        <v>2371903</v>
      </c>
      <c r="AG10" s="75">
        <v>5807849</v>
      </c>
      <c r="AH10" s="75">
        <v>7060602</v>
      </c>
      <c r="AI10" s="75">
        <v>2371903</v>
      </c>
      <c r="AJ10" s="75">
        <v>2933388</v>
      </c>
      <c r="AK10" s="75">
        <v>595389</v>
      </c>
      <c r="AL10" s="75">
        <v>274636</v>
      </c>
      <c r="AM10" s="75">
        <v>7060602</v>
      </c>
      <c r="AN10" s="75">
        <v>9601707</v>
      </c>
      <c r="AO10" s="75">
        <v>2933388</v>
      </c>
      <c r="AP10" s="75">
        <v>2830095</v>
      </c>
    </row>
    <row r="11" spans="1:42" x14ac:dyDescent="0.25">
      <c r="A11" s="72" t="s">
        <v>13</v>
      </c>
      <c r="B11" s="75">
        <v>295856.41899999999</v>
      </c>
      <c r="C11" s="75">
        <v>379134.83199999999</v>
      </c>
      <c r="D11" s="75">
        <v>529004</v>
      </c>
      <c r="E11" s="75">
        <v>466487</v>
      </c>
      <c r="F11" s="75">
        <v>859308</v>
      </c>
      <c r="G11" s="75">
        <v>0</v>
      </c>
      <c r="H11" s="75">
        <v>19031108</v>
      </c>
      <c r="I11" s="75">
        <v>18988232</v>
      </c>
      <c r="J11" s="75">
        <v>32392445</v>
      </c>
      <c r="K11" s="75">
        <v>39419076</v>
      </c>
      <c r="L11" s="75">
        <v>99379.133000000002</v>
      </c>
      <c r="M11" s="75">
        <v>5325558.28</v>
      </c>
      <c r="N11" s="75">
        <v>19196914</v>
      </c>
      <c r="O11" s="75">
        <v>17131170</v>
      </c>
      <c r="P11" s="75">
        <v>19674060</v>
      </c>
      <c r="Q11" s="75">
        <v>859308</v>
      </c>
      <c r="R11" s="75"/>
      <c r="S11" s="75">
        <v>39419076</v>
      </c>
      <c r="T11" s="75">
        <v>56144530</v>
      </c>
      <c r="U11" s="75">
        <v>19674060</v>
      </c>
      <c r="V11" s="75">
        <v>17554085</v>
      </c>
      <c r="W11" s="75">
        <v>859308</v>
      </c>
      <c r="X11" s="75"/>
      <c r="Y11" s="75">
        <v>56144530</v>
      </c>
      <c r="Z11" s="75">
        <v>7160016</v>
      </c>
      <c r="AA11" s="75">
        <v>17554085</v>
      </c>
      <c r="AB11" s="75">
        <v>19618614</v>
      </c>
      <c r="AC11" s="377">
        <v>7160016</v>
      </c>
      <c r="AD11" s="377">
        <v>8761946</v>
      </c>
      <c r="AE11" s="377">
        <v>14850044</v>
      </c>
      <c r="AF11" s="377">
        <v>14042287</v>
      </c>
      <c r="AG11" s="75">
        <v>7728097</v>
      </c>
      <c r="AH11" s="75">
        <v>7985901</v>
      </c>
      <c r="AI11" s="75">
        <v>14042287</v>
      </c>
      <c r="AJ11" s="75">
        <v>11445118</v>
      </c>
      <c r="AK11" s="75">
        <v>119079</v>
      </c>
      <c r="AL11" s="75">
        <v>261979</v>
      </c>
      <c r="AM11" s="75">
        <v>7985901</v>
      </c>
      <c r="AN11" s="75">
        <v>13122525</v>
      </c>
      <c r="AO11" s="75">
        <v>11445118</v>
      </c>
      <c r="AP11" s="75">
        <v>11407050</v>
      </c>
    </row>
    <row r="12" spans="1:42" x14ac:dyDescent="0.25">
      <c r="A12" s="69" t="s">
        <v>14</v>
      </c>
      <c r="B12" s="75">
        <v>0</v>
      </c>
      <c r="C12" s="75">
        <v>0</v>
      </c>
      <c r="D12" s="75">
        <v>0</v>
      </c>
      <c r="E12" s="75"/>
      <c r="F12" s="75"/>
      <c r="G12" s="75">
        <v>0</v>
      </c>
      <c r="H12" s="75">
        <v>0</v>
      </c>
      <c r="I12" s="75">
        <v>0</v>
      </c>
      <c r="J12" s="75"/>
      <c r="K12" s="75"/>
      <c r="L12" s="75"/>
      <c r="M12" s="75"/>
      <c r="N12" s="75">
        <v>0</v>
      </c>
      <c r="O12" s="75">
        <v>0</v>
      </c>
      <c r="P12" s="75">
        <v>0</v>
      </c>
      <c r="Q12" s="75"/>
      <c r="R12" s="75">
        <v>0</v>
      </c>
      <c r="S12" s="75"/>
      <c r="T12" s="75">
        <v>0</v>
      </c>
      <c r="U12" s="75">
        <v>0</v>
      </c>
      <c r="V12" s="75"/>
      <c r="W12" s="75"/>
      <c r="X12" s="75">
        <v>0</v>
      </c>
      <c r="Y12" s="75">
        <v>0</v>
      </c>
      <c r="Z12" s="75">
        <v>2000000</v>
      </c>
      <c r="AA12" s="75"/>
      <c r="AB12" s="75"/>
      <c r="AC12" s="377">
        <v>2000000</v>
      </c>
      <c r="AD12" s="377"/>
      <c r="AE12" s="377"/>
      <c r="AF12" s="377"/>
      <c r="AG12" s="75"/>
      <c r="AH12" s="75"/>
      <c r="AI12" s="75"/>
      <c r="AJ12" s="75"/>
      <c r="AK12" s="75"/>
      <c r="AL12" s="75">
        <v>0</v>
      </c>
      <c r="AM12" s="75"/>
      <c r="AN12" s="75"/>
      <c r="AO12" s="75"/>
      <c r="AP12" s="75"/>
    </row>
    <row r="13" spans="1:42" x14ac:dyDescent="0.25">
      <c r="A13" s="71" t="s">
        <v>15</v>
      </c>
      <c r="B13" s="76">
        <v>584839.33100000001</v>
      </c>
      <c r="C13" s="76">
        <v>642254.37100000004</v>
      </c>
      <c r="D13" s="76">
        <v>721572</v>
      </c>
      <c r="E13" s="76">
        <v>692563</v>
      </c>
      <c r="F13" s="76">
        <v>1475781</v>
      </c>
      <c r="G13" s="76">
        <v>11868695</v>
      </c>
      <c r="H13" s="76">
        <v>29681630</v>
      </c>
      <c r="I13" s="76">
        <v>30674935</v>
      </c>
      <c r="J13" s="76">
        <v>44615901</v>
      </c>
      <c r="K13" s="76">
        <v>57788033</v>
      </c>
      <c r="L13" s="76">
        <v>3303714.35</v>
      </c>
      <c r="M13" s="76">
        <v>20065201.412</v>
      </c>
      <c r="N13" s="76">
        <v>21114176</v>
      </c>
      <c r="O13" s="76">
        <v>18970047</v>
      </c>
      <c r="P13" s="76">
        <v>22647570</v>
      </c>
      <c r="Q13" s="76">
        <v>1475781</v>
      </c>
      <c r="R13" s="76">
        <v>0</v>
      </c>
      <c r="S13" s="76">
        <v>57788033</v>
      </c>
      <c r="T13" s="76">
        <v>69584376</v>
      </c>
      <c r="U13" s="76">
        <v>22647570</v>
      </c>
      <c r="V13" s="76">
        <v>19840684</v>
      </c>
      <c r="W13" s="76">
        <v>1475781</v>
      </c>
      <c r="X13" s="76">
        <v>0</v>
      </c>
      <c r="Y13" s="76">
        <v>69584376</v>
      </c>
      <c r="Z13" s="76">
        <v>15221657</v>
      </c>
      <c r="AA13" s="76">
        <v>19840684</v>
      </c>
      <c r="AB13" s="76">
        <v>20405659</v>
      </c>
      <c r="AC13" s="378">
        <v>15221657</v>
      </c>
      <c r="AD13" s="378">
        <f>SUM(AD10:AD12)</f>
        <v>13445672</v>
      </c>
      <c r="AE13" s="378">
        <f>SUM(AE10:AE12)</f>
        <v>18630247</v>
      </c>
      <c r="AF13" s="378">
        <f>SUM(AF10:AF12)</f>
        <v>16414190</v>
      </c>
      <c r="AG13" s="76">
        <v>13535946</v>
      </c>
      <c r="AH13" s="76">
        <v>15046503</v>
      </c>
      <c r="AI13" s="76">
        <v>16414190</v>
      </c>
      <c r="AJ13" s="76">
        <v>14378506</v>
      </c>
      <c r="AK13" s="76">
        <v>714468</v>
      </c>
      <c r="AL13" s="76">
        <v>536615</v>
      </c>
      <c r="AM13" s="76">
        <v>15046503</v>
      </c>
      <c r="AN13" s="76">
        <v>22724232</v>
      </c>
      <c r="AO13" s="76">
        <v>14378506</v>
      </c>
      <c r="AP13" s="76">
        <v>14237145</v>
      </c>
    </row>
    <row r="14" spans="1:42" x14ac:dyDescent="0.25">
      <c r="A14" s="71" t="s">
        <v>16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379"/>
      <c r="AD14" s="379"/>
      <c r="AE14" s="379"/>
      <c r="AF14" s="379"/>
      <c r="AG14" s="77"/>
      <c r="AH14" s="77"/>
      <c r="AI14" s="77"/>
      <c r="AJ14" s="77"/>
      <c r="AK14" s="77"/>
      <c r="AL14" s="77"/>
      <c r="AM14" s="77"/>
      <c r="AN14" s="77"/>
      <c r="AO14" s="77"/>
      <c r="AP14" s="77"/>
    </row>
    <row r="15" spans="1:42" ht="15.75" thickBot="1" x14ac:dyDescent="0.3">
      <c r="A15" s="80" t="s">
        <v>17</v>
      </c>
      <c r="B15" s="81">
        <v>585000</v>
      </c>
      <c r="C15" s="81">
        <v>585000</v>
      </c>
      <c r="D15" s="81">
        <v>585000</v>
      </c>
      <c r="E15" s="81">
        <v>585000</v>
      </c>
      <c r="F15" s="81">
        <v>585000</v>
      </c>
      <c r="G15" s="81">
        <v>672000</v>
      </c>
      <c r="H15" s="81">
        <v>672000</v>
      </c>
      <c r="I15" s="81">
        <v>672000</v>
      </c>
      <c r="J15" s="81">
        <v>672000</v>
      </c>
      <c r="K15" s="81">
        <v>672000</v>
      </c>
      <c r="L15" s="81">
        <v>3035997</v>
      </c>
      <c r="M15" s="81">
        <v>3035997</v>
      </c>
      <c r="N15" s="81">
        <v>3035997</v>
      </c>
      <c r="O15" s="81">
        <v>3035997</v>
      </c>
      <c r="P15" s="81">
        <v>3035997</v>
      </c>
      <c r="Q15" s="81">
        <v>585000</v>
      </c>
      <c r="R15" s="81"/>
      <c r="S15" s="81">
        <v>672000</v>
      </c>
      <c r="T15" s="81">
        <v>672000</v>
      </c>
      <c r="U15" s="81">
        <v>3035997</v>
      </c>
      <c r="V15" s="81">
        <v>5000000</v>
      </c>
      <c r="W15" s="81">
        <v>585000</v>
      </c>
      <c r="X15" s="81"/>
      <c r="Y15" s="81">
        <v>672000</v>
      </c>
      <c r="Z15" s="81">
        <v>2600000</v>
      </c>
      <c r="AA15" s="81">
        <v>5000000</v>
      </c>
      <c r="AB15" s="81">
        <v>5000000</v>
      </c>
      <c r="AC15" s="380">
        <v>2600000</v>
      </c>
      <c r="AD15" s="380">
        <v>2600000</v>
      </c>
      <c r="AE15" s="380">
        <v>5000000</v>
      </c>
      <c r="AF15" s="380">
        <v>5000000</v>
      </c>
      <c r="AG15" s="81">
        <v>2600000</v>
      </c>
      <c r="AH15" s="81">
        <v>2600000</v>
      </c>
      <c r="AI15" s="81">
        <v>5000000</v>
      </c>
      <c r="AJ15" s="81">
        <v>5000000</v>
      </c>
      <c r="AK15" s="81">
        <v>585000</v>
      </c>
      <c r="AL15" s="81">
        <v>585000</v>
      </c>
      <c r="AM15" s="81">
        <v>2600000</v>
      </c>
      <c r="AN15" s="81">
        <v>2600000</v>
      </c>
      <c r="AO15" s="81">
        <v>5000000</v>
      </c>
      <c r="AP15" s="81">
        <v>5000000</v>
      </c>
    </row>
    <row r="16" spans="1:42" ht="15.75" thickBot="1" x14ac:dyDescent="0.3">
      <c r="A16" s="89" t="s">
        <v>18</v>
      </c>
      <c r="B16" s="74">
        <v>28658.334999999999</v>
      </c>
      <c r="C16" s="74">
        <v>-113591.462</v>
      </c>
      <c r="D16" s="74">
        <v>56461</v>
      </c>
      <c r="E16" s="74">
        <v>55292</v>
      </c>
      <c r="F16" s="74">
        <v>-473857</v>
      </c>
      <c r="G16" s="74">
        <v>-325142</v>
      </c>
      <c r="H16" s="74">
        <v>238345</v>
      </c>
      <c r="I16" s="74">
        <v>802718</v>
      </c>
      <c r="J16" s="74">
        <v>765352</v>
      </c>
      <c r="K16" s="74">
        <v>976874</v>
      </c>
      <c r="L16" s="74">
        <v>60226.184999999998</v>
      </c>
      <c r="M16" s="74">
        <v>260230</v>
      </c>
      <c r="N16" s="74">
        <v>375808</v>
      </c>
      <c r="O16" s="74">
        <v>232843</v>
      </c>
      <c r="P16" s="74">
        <v>235000</v>
      </c>
      <c r="Q16" s="233">
        <v>-473857</v>
      </c>
      <c r="R16" s="233"/>
      <c r="S16" s="233">
        <v>976874</v>
      </c>
      <c r="T16" s="233">
        <v>1100536</v>
      </c>
      <c r="U16" s="233">
        <v>235000</v>
      </c>
      <c r="V16" s="233">
        <v>394826</v>
      </c>
      <c r="W16" s="296">
        <v>-473857</v>
      </c>
      <c r="X16" s="296"/>
      <c r="Y16" s="296">
        <v>1100536</v>
      </c>
      <c r="Z16" s="296">
        <v>640212</v>
      </c>
      <c r="AA16" s="296">
        <v>394826</v>
      </c>
      <c r="AB16" s="296">
        <v>313010</v>
      </c>
      <c r="AC16" s="381">
        <v>640212</v>
      </c>
      <c r="AD16" s="382">
        <v>-3818637</v>
      </c>
      <c r="AE16" s="381">
        <v>233090</v>
      </c>
      <c r="AF16" s="381">
        <v>66799</v>
      </c>
      <c r="AG16" s="296">
        <v>-4950940</v>
      </c>
      <c r="AH16" s="296">
        <v>-711716</v>
      </c>
      <c r="AI16" s="296">
        <v>66799</v>
      </c>
      <c r="AJ16" s="296">
        <v>576131</v>
      </c>
      <c r="AK16" s="296">
        <v>16263</v>
      </c>
      <c r="AL16" s="296">
        <v>26136</v>
      </c>
      <c r="AM16" s="296">
        <v>-711716</v>
      </c>
      <c r="AN16" s="296">
        <v>541965</v>
      </c>
      <c r="AO16" s="296">
        <v>576131</v>
      </c>
      <c r="AP16" s="296">
        <v>406337</v>
      </c>
    </row>
    <row r="17" spans="1:42" x14ac:dyDescent="0.25">
      <c r="A17" s="82" t="s">
        <v>19</v>
      </c>
      <c r="B17" s="83">
        <v>-263120.13299999997</v>
      </c>
      <c r="C17" s="83">
        <v>-234461.79800000001</v>
      </c>
      <c r="D17" s="83">
        <v>-348053</v>
      </c>
      <c r="E17" s="83">
        <v>-291592</v>
      </c>
      <c r="F17" s="83">
        <v>-236301</v>
      </c>
      <c r="G17" s="83">
        <v>0</v>
      </c>
      <c r="H17" s="83">
        <v>-325142</v>
      </c>
      <c r="I17" s="83">
        <v>-86797</v>
      </c>
      <c r="J17" s="83">
        <v>698033</v>
      </c>
      <c r="K17" s="83">
        <v>-325142</v>
      </c>
      <c r="L17" s="83">
        <v>0</v>
      </c>
      <c r="M17" s="83">
        <v>60226.184999999998</v>
      </c>
      <c r="N17" s="83">
        <v>412639</v>
      </c>
      <c r="O17" s="83">
        <v>788447</v>
      </c>
      <c r="P17" s="83">
        <v>788447</v>
      </c>
      <c r="Q17" s="83">
        <v>-236301</v>
      </c>
      <c r="R17" s="83"/>
      <c r="S17" s="83">
        <v>-325142</v>
      </c>
      <c r="T17" s="83">
        <v>-325142</v>
      </c>
      <c r="U17" s="83">
        <v>788447</v>
      </c>
      <c r="V17" s="83">
        <v>906700</v>
      </c>
      <c r="W17" s="83">
        <v>-236301</v>
      </c>
      <c r="X17" s="83"/>
      <c r="Y17" s="83">
        <v>-325142</v>
      </c>
      <c r="Z17" s="83">
        <v>-325142</v>
      </c>
      <c r="AA17" s="83">
        <v>906700</v>
      </c>
      <c r="AB17" s="83">
        <v>1301527</v>
      </c>
      <c r="AC17" s="383">
        <v>-325142</v>
      </c>
      <c r="AD17" s="383">
        <v>-325142</v>
      </c>
      <c r="AE17" s="383">
        <v>1301528</v>
      </c>
      <c r="AF17" s="383">
        <v>1534617</v>
      </c>
      <c r="AG17" s="83">
        <v>3553244</v>
      </c>
      <c r="AH17" s="83">
        <v>-1397697</v>
      </c>
      <c r="AI17" s="83">
        <v>1534617</v>
      </c>
      <c r="AJ17" s="83">
        <v>1184603</v>
      </c>
      <c r="AK17" s="83">
        <v>-220435</v>
      </c>
      <c r="AL17" s="83">
        <v>-204171</v>
      </c>
      <c r="AM17" s="83">
        <v>-1397697</v>
      </c>
      <c r="AN17" s="83">
        <v>-2109412</v>
      </c>
      <c r="AO17" s="83">
        <v>1184603</v>
      </c>
      <c r="AP17" s="83">
        <v>1760734</v>
      </c>
    </row>
    <row r="18" spans="1:42" x14ac:dyDescent="0.25">
      <c r="A18" s="69" t="s">
        <v>20</v>
      </c>
      <c r="B18" s="75">
        <v>405503.94799999997</v>
      </c>
      <c r="C18" s="75">
        <v>405503.94799999997</v>
      </c>
      <c r="D18" s="75">
        <v>405503</v>
      </c>
      <c r="E18" s="75">
        <v>125503</v>
      </c>
      <c r="F18" s="75">
        <v>125504</v>
      </c>
      <c r="G18" s="75">
        <v>2950511</v>
      </c>
      <c r="H18" s="75">
        <v>2942307</v>
      </c>
      <c r="I18" s="75">
        <v>30341606</v>
      </c>
      <c r="J18" s="75">
        <v>34807636</v>
      </c>
      <c r="K18" s="75">
        <v>48849027</v>
      </c>
      <c r="L18" s="75">
        <v>809388.90599999996</v>
      </c>
      <c r="M18" s="75">
        <v>809388.90599999996</v>
      </c>
      <c r="N18" s="75">
        <v>59101</v>
      </c>
      <c r="O18" s="75">
        <v>59102</v>
      </c>
      <c r="P18" s="75">
        <v>44437</v>
      </c>
      <c r="Q18" s="75">
        <v>125504</v>
      </c>
      <c r="R18" s="75"/>
      <c r="S18" s="75">
        <v>48849027</v>
      </c>
      <c r="T18" s="75">
        <v>37115636</v>
      </c>
      <c r="U18" s="75">
        <v>44437</v>
      </c>
      <c r="V18" s="75">
        <v>18765</v>
      </c>
      <c r="W18" s="75">
        <v>125504</v>
      </c>
      <c r="X18" s="75"/>
      <c r="Y18" s="75">
        <v>37115636</v>
      </c>
      <c r="Z18" s="75">
        <v>9393871</v>
      </c>
      <c r="AA18" s="75">
        <v>18765</v>
      </c>
      <c r="AB18" s="75">
        <v>18765</v>
      </c>
      <c r="AC18" s="377">
        <v>9393871</v>
      </c>
      <c r="AD18" s="377">
        <v>12108076</v>
      </c>
      <c r="AE18" s="377">
        <f>18764-29126</f>
        <v>-10362</v>
      </c>
      <c r="AF18" s="377">
        <f>18764+8933</f>
        <v>27697</v>
      </c>
      <c r="AG18" s="75">
        <v>2903240</v>
      </c>
      <c r="AH18" s="75">
        <v>2903240</v>
      </c>
      <c r="AI18" s="75">
        <v>27697</v>
      </c>
      <c r="AJ18" s="75">
        <v>12140788</v>
      </c>
      <c r="AK18" s="75">
        <v>93656</v>
      </c>
      <c r="AL18" s="75">
        <v>376694</v>
      </c>
      <c r="AM18" s="75">
        <v>2903240</v>
      </c>
      <c r="AN18" s="75">
        <v>2903240</v>
      </c>
      <c r="AO18" s="75">
        <v>12140788</v>
      </c>
      <c r="AP18" s="75">
        <v>12140789</v>
      </c>
    </row>
    <row r="19" spans="1:42" x14ac:dyDescent="0.25">
      <c r="A19" s="71" t="s">
        <v>21</v>
      </c>
      <c r="B19" s="76">
        <v>756042.14999999991</v>
      </c>
      <c r="C19" s="76">
        <v>642450.68799999997</v>
      </c>
      <c r="D19" s="76">
        <v>698911</v>
      </c>
      <c r="E19" s="76">
        <v>474203</v>
      </c>
      <c r="F19" s="76">
        <v>346</v>
      </c>
      <c r="G19" s="76">
        <v>3297369</v>
      </c>
      <c r="H19" s="76">
        <v>3527510</v>
      </c>
      <c r="I19" s="76">
        <v>31729527</v>
      </c>
      <c r="J19" s="76">
        <v>36943021</v>
      </c>
      <c r="K19" s="76">
        <v>50172759</v>
      </c>
      <c r="L19" s="76">
        <v>3905612.091</v>
      </c>
      <c r="M19" s="76">
        <v>4165842.091</v>
      </c>
      <c r="N19" s="76">
        <v>3883545</v>
      </c>
      <c r="O19" s="76">
        <v>4116389</v>
      </c>
      <c r="P19" s="76">
        <v>4103881</v>
      </c>
      <c r="Q19" s="76">
        <v>346</v>
      </c>
      <c r="R19" s="76">
        <v>0</v>
      </c>
      <c r="S19" s="76">
        <v>50172759</v>
      </c>
      <c r="T19" s="76">
        <v>38563030</v>
      </c>
      <c r="U19" s="76">
        <v>4103881</v>
      </c>
      <c r="V19" s="76">
        <v>6320291</v>
      </c>
      <c r="W19" s="76">
        <v>346</v>
      </c>
      <c r="X19" s="76">
        <v>0</v>
      </c>
      <c r="Y19" s="76">
        <v>38563030</v>
      </c>
      <c r="Z19" s="76">
        <v>12308941</v>
      </c>
      <c r="AA19" s="76">
        <v>6320291</v>
      </c>
      <c r="AB19" s="76">
        <v>6633302</v>
      </c>
      <c r="AC19" s="378">
        <v>12308941</v>
      </c>
      <c r="AD19" s="378">
        <f>SUM(AD15:AD18)</f>
        <v>10564297</v>
      </c>
      <c r="AE19" s="378">
        <f>SUM(AE15:AE18)</f>
        <v>6524256</v>
      </c>
      <c r="AF19" s="378">
        <f>SUM(AF15:AF18)</f>
        <v>6629113</v>
      </c>
      <c r="AG19" s="76">
        <v>4105544</v>
      </c>
      <c r="AH19" s="76">
        <v>3393827</v>
      </c>
      <c r="AI19" s="76">
        <v>6629113</v>
      </c>
      <c r="AJ19" s="76">
        <v>18901522</v>
      </c>
      <c r="AK19" s="76">
        <v>474484</v>
      </c>
      <c r="AL19" s="76">
        <v>783659</v>
      </c>
      <c r="AM19" s="76">
        <v>3393827</v>
      </c>
      <c r="AN19" s="76">
        <v>3935793</v>
      </c>
      <c r="AO19" s="76">
        <v>18901522</v>
      </c>
      <c r="AP19" s="76">
        <v>19307860</v>
      </c>
    </row>
    <row r="20" spans="1:42" x14ac:dyDescent="0.25">
      <c r="A20" s="71" t="s">
        <v>22</v>
      </c>
      <c r="B20" s="76">
        <v>1340881.4809999999</v>
      </c>
      <c r="C20" s="76">
        <v>1284705.0589999999</v>
      </c>
      <c r="D20" s="76">
        <v>1420483</v>
      </c>
      <c r="E20" s="76">
        <v>1166766</v>
      </c>
      <c r="F20" s="76">
        <v>1476127</v>
      </c>
      <c r="G20" s="76">
        <v>15166064</v>
      </c>
      <c r="H20" s="76">
        <v>33209140</v>
      </c>
      <c r="I20" s="76">
        <v>62404462</v>
      </c>
      <c r="J20" s="76">
        <v>81558922</v>
      </c>
      <c r="K20" s="76">
        <v>107960792</v>
      </c>
      <c r="L20" s="76">
        <v>7209326.4409999996</v>
      </c>
      <c r="M20" s="76">
        <v>24231043.502999999</v>
      </c>
      <c r="N20" s="76">
        <v>24997721</v>
      </c>
      <c r="O20" s="76">
        <v>23086436</v>
      </c>
      <c r="P20" s="76">
        <v>26751451</v>
      </c>
      <c r="Q20" s="76">
        <v>1476127</v>
      </c>
      <c r="R20" s="76">
        <v>0</v>
      </c>
      <c r="S20" s="76">
        <v>107960792</v>
      </c>
      <c r="T20" s="76">
        <v>108147406</v>
      </c>
      <c r="U20" s="76">
        <v>26751451</v>
      </c>
      <c r="V20" s="76">
        <v>26160975</v>
      </c>
      <c r="W20" s="76">
        <v>1476127</v>
      </c>
      <c r="X20" s="76">
        <v>0</v>
      </c>
      <c r="Y20" s="76">
        <v>108147406</v>
      </c>
      <c r="Z20" s="76">
        <v>27530598</v>
      </c>
      <c r="AA20" s="76">
        <v>26160975</v>
      </c>
      <c r="AB20" s="76">
        <v>27038961</v>
      </c>
      <c r="AC20" s="378">
        <v>27530598</v>
      </c>
      <c r="AD20" s="378">
        <f>+AD19+AD13</f>
        <v>24009969</v>
      </c>
      <c r="AE20" s="378">
        <f>+AE19+AE13</f>
        <v>25154503</v>
      </c>
      <c r="AF20" s="378">
        <f>+AF19+AF13</f>
        <v>23043303</v>
      </c>
      <c r="AG20" s="76">
        <v>17641490</v>
      </c>
      <c r="AH20" s="76">
        <v>18440330</v>
      </c>
      <c r="AI20" s="76">
        <v>23043303</v>
      </c>
      <c r="AJ20" s="76">
        <v>33280028</v>
      </c>
      <c r="AK20" s="76">
        <v>1188952</v>
      </c>
      <c r="AL20" s="76">
        <v>1320274</v>
      </c>
      <c r="AM20" s="76">
        <v>18440330</v>
      </c>
      <c r="AN20" s="76">
        <v>26660025</v>
      </c>
      <c r="AO20" s="76">
        <v>33280028</v>
      </c>
      <c r="AP20" s="76">
        <v>33545005</v>
      </c>
    </row>
    <row r="21" spans="1:42" ht="15.75" x14ac:dyDescent="0.25">
      <c r="A21" s="70" t="s">
        <v>23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377"/>
      <c r="AD21" s="377"/>
      <c r="AE21" s="377"/>
      <c r="AF21" s="377"/>
      <c r="AG21" s="75"/>
      <c r="AH21" s="75"/>
      <c r="AI21" s="75"/>
      <c r="AJ21" s="75"/>
      <c r="AK21" s="75"/>
      <c r="AL21" s="75"/>
      <c r="AM21" s="75"/>
      <c r="AN21" s="75"/>
      <c r="AO21" s="75"/>
      <c r="AP21" s="75"/>
    </row>
    <row r="22" spans="1:42" x14ac:dyDescent="0.25">
      <c r="A22" s="71" t="s">
        <v>24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379"/>
      <c r="AD22" s="379"/>
      <c r="AE22" s="379"/>
      <c r="AF22" s="379"/>
      <c r="AG22" s="77"/>
      <c r="AH22" s="77"/>
      <c r="AI22" s="77"/>
      <c r="AJ22" s="77"/>
      <c r="AK22" s="77"/>
      <c r="AL22" s="77"/>
      <c r="AM22" s="77"/>
      <c r="AN22" s="77"/>
      <c r="AO22" s="77"/>
      <c r="AP22" s="77"/>
    </row>
    <row r="23" spans="1:42" x14ac:dyDescent="0.25">
      <c r="A23" s="72" t="s">
        <v>25</v>
      </c>
      <c r="B23" s="75">
        <v>2826454.7239999999</v>
      </c>
      <c r="C23" s="75">
        <v>2098636.0520000001</v>
      </c>
      <c r="D23" s="75">
        <v>2233744</v>
      </c>
      <c r="E23" s="75">
        <v>2606615</v>
      </c>
      <c r="F23" s="75">
        <v>2203724</v>
      </c>
      <c r="G23" s="75">
        <v>48509037</v>
      </c>
      <c r="H23" s="75">
        <v>51452096</v>
      </c>
      <c r="I23" s="75">
        <v>53143514</v>
      </c>
      <c r="J23" s="75">
        <v>69965671</v>
      </c>
      <c r="K23" s="75">
        <v>76241040</v>
      </c>
      <c r="L23" s="75">
        <v>4948363</v>
      </c>
      <c r="M23" s="75">
        <v>8834535.9210000001</v>
      </c>
      <c r="N23" s="75">
        <v>11630570</v>
      </c>
      <c r="O23" s="75">
        <v>11256502</v>
      </c>
      <c r="P23" s="75">
        <v>11836608</v>
      </c>
      <c r="Q23" s="75">
        <v>2203724</v>
      </c>
      <c r="R23" s="75"/>
      <c r="S23" s="75">
        <v>76241040</v>
      </c>
      <c r="T23" s="75">
        <v>77299921</v>
      </c>
      <c r="U23" s="75">
        <v>11836608</v>
      </c>
      <c r="V23" s="75">
        <v>16849129</v>
      </c>
      <c r="W23" s="75">
        <v>2203724</v>
      </c>
      <c r="X23" s="75"/>
      <c r="Y23" s="75">
        <v>77299921</v>
      </c>
      <c r="Z23" s="75">
        <v>79565674</v>
      </c>
      <c r="AA23" s="75">
        <v>16849129</v>
      </c>
      <c r="AB23" s="75">
        <v>10423151</v>
      </c>
      <c r="AC23" s="377">
        <v>79565674</v>
      </c>
      <c r="AD23" s="377">
        <v>54508721</v>
      </c>
      <c r="AE23" s="377">
        <v>10423150</v>
      </c>
      <c r="AF23" s="377">
        <v>11646119</v>
      </c>
      <c r="AG23" s="75">
        <v>51640865</v>
      </c>
      <c r="AH23" s="75">
        <v>45720882</v>
      </c>
      <c r="AI23" s="75">
        <v>11646119</v>
      </c>
      <c r="AJ23" s="75">
        <v>11029811</v>
      </c>
      <c r="AK23" s="75">
        <v>123510</v>
      </c>
      <c r="AL23" s="75">
        <v>1399146</v>
      </c>
      <c r="AM23" s="75">
        <v>45720882</v>
      </c>
      <c r="AN23" s="75">
        <v>57874286</v>
      </c>
      <c r="AO23" s="75">
        <v>11029811</v>
      </c>
      <c r="AP23" s="75">
        <v>9761656</v>
      </c>
    </row>
    <row r="24" spans="1:42" x14ac:dyDescent="0.25">
      <c r="A24" s="72" t="s">
        <v>26</v>
      </c>
      <c r="B24" s="75">
        <v>90556.441000000006</v>
      </c>
      <c r="C24" s="75">
        <v>112940.80100000001</v>
      </c>
      <c r="D24" s="75">
        <v>49426</v>
      </c>
      <c r="E24" s="75">
        <v>8798</v>
      </c>
      <c r="F24" s="75">
        <v>5955</v>
      </c>
      <c r="G24" s="75">
        <v>4355641</v>
      </c>
      <c r="H24" s="75">
        <v>4153383</v>
      </c>
      <c r="I24" s="75">
        <v>3877546</v>
      </c>
      <c r="J24" s="75">
        <v>5544017</v>
      </c>
      <c r="K24" s="75">
        <v>13356388</v>
      </c>
      <c r="L24" s="75">
        <v>79564</v>
      </c>
      <c r="M24" s="75">
        <v>2542727.659</v>
      </c>
      <c r="N24" s="75">
        <v>189346</v>
      </c>
      <c r="O24" s="75">
        <v>65893</v>
      </c>
      <c r="P24" s="75">
        <v>48219</v>
      </c>
      <c r="Q24" s="75">
        <v>5955</v>
      </c>
      <c r="R24" s="75"/>
      <c r="S24" s="75">
        <v>13356388</v>
      </c>
      <c r="T24" s="75">
        <v>4561741</v>
      </c>
      <c r="U24" s="75">
        <v>48219</v>
      </c>
      <c r="V24" s="75">
        <v>60571</v>
      </c>
      <c r="W24" s="75">
        <v>5955</v>
      </c>
      <c r="X24" s="75"/>
      <c r="Y24" s="75">
        <v>4561741</v>
      </c>
      <c r="Z24" s="75">
        <v>810299</v>
      </c>
      <c r="AA24" s="75">
        <v>60571</v>
      </c>
      <c r="AB24" s="75">
        <v>1156928</v>
      </c>
      <c r="AC24" s="377">
        <v>810299</v>
      </c>
      <c r="AD24" s="377">
        <v>2248053</v>
      </c>
      <c r="AE24" s="377">
        <v>1111852</v>
      </c>
      <c r="AF24" s="377">
        <v>157326</v>
      </c>
      <c r="AG24" s="75">
        <v>2251087</v>
      </c>
      <c r="AH24" s="75">
        <v>1405120</v>
      </c>
      <c r="AI24" s="75">
        <v>157326</v>
      </c>
      <c r="AJ24" s="75">
        <v>298877</v>
      </c>
      <c r="AK24" s="75"/>
      <c r="AL24" s="75"/>
      <c r="AM24" s="75">
        <v>1405120</v>
      </c>
      <c r="AN24" s="75">
        <v>1160166</v>
      </c>
      <c r="AO24" s="75">
        <v>298877</v>
      </c>
      <c r="AP24" s="75">
        <v>259531</v>
      </c>
    </row>
    <row r="25" spans="1:42" x14ac:dyDescent="0.25">
      <c r="A25" s="71" t="s">
        <v>27</v>
      </c>
      <c r="B25" s="76">
        <v>2917011.165</v>
      </c>
      <c r="C25" s="76">
        <v>2211576.8530000001</v>
      </c>
      <c r="D25" s="76">
        <v>2283170</v>
      </c>
      <c r="E25" s="76">
        <v>2615413</v>
      </c>
      <c r="F25" s="76">
        <v>2209679</v>
      </c>
      <c r="G25" s="76">
        <v>52864678</v>
      </c>
      <c r="H25" s="76">
        <v>55605479</v>
      </c>
      <c r="I25" s="76">
        <v>57021060</v>
      </c>
      <c r="J25" s="76">
        <v>75509688</v>
      </c>
      <c r="K25" s="76">
        <v>89597428</v>
      </c>
      <c r="L25" s="76">
        <v>5027927</v>
      </c>
      <c r="M25" s="76">
        <v>11377263.58</v>
      </c>
      <c r="N25" s="76">
        <v>11819916</v>
      </c>
      <c r="O25" s="76">
        <v>11322395</v>
      </c>
      <c r="P25" s="76">
        <v>11884827</v>
      </c>
      <c r="Q25" s="76">
        <v>2209679</v>
      </c>
      <c r="R25" s="76">
        <v>0</v>
      </c>
      <c r="S25" s="76">
        <v>89597428</v>
      </c>
      <c r="T25" s="76">
        <v>81861662</v>
      </c>
      <c r="U25" s="76">
        <v>11884827</v>
      </c>
      <c r="V25" s="76">
        <v>16909700</v>
      </c>
      <c r="W25" s="76">
        <v>2209679</v>
      </c>
      <c r="X25" s="76">
        <v>0</v>
      </c>
      <c r="Y25" s="76">
        <v>81861662</v>
      </c>
      <c r="Z25" s="76">
        <v>80375973</v>
      </c>
      <c r="AA25" s="76">
        <v>16909700</v>
      </c>
      <c r="AB25" s="76">
        <v>11580079</v>
      </c>
      <c r="AC25" s="378">
        <v>80375973</v>
      </c>
      <c r="AD25" s="378">
        <f>SUM(AD23:AD24)</f>
        <v>56756774</v>
      </c>
      <c r="AE25" s="378">
        <f>SUM(AE23:AE24)</f>
        <v>11535002</v>
      </c>
      <c r="AF25" s="378">
        <f>SUM(AF23:AF24)</f>
        <v>11803445</v>
      </c>
      <c r="AG25" s="76">
        <v>53891952</v>
      </c>
      <c r="AH25" s="76">
        <v>47126002</v>
      </c>
      <c r="AI25" s="76">
        <v>11803445</v>
      </c>
      <c r="AJ25" s="76">
        <v>11328688</v>
      </c>
      <c r="AK25" s="76">
        <v>123510</v>
      </c>
      <c r="AL25" s="76">
        <v>1399146</v>
      </c>
      <c r="AM25" s="76">
        <v>47126002</v>
      </c>
      <c r="AN25" s="76">
        <v>59034452</v>
      </c>
      <c r="AO25" s="76">
        <v>11328688</v>
      </c>
      <c r="AP25" s="76">
        <v>10021187</v>
      </c>
    </row>
    <row r="26" spans="1:42" x14ac:dyDescent="0.25">
      <c r="A26" s="71" t="s">
        <v>28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379"/>
      <c r="AD26" s="379"/>
      <c r="AE26" s="379"/>
      <c r="AF26" s="379"/>
      <c r="AG26" s="77"/>
      <c r="AH26" s="77"/>
      <c r="AI26" s="77"/>
      <c r="AJ26" s="77"/>
      <c r="AK26" s="77"/>
      <c r="AL26" s="77"/>
      <c r="AM26" s="77"/>
      <c r="AN26" s="77"/>
      <c r="AO26" s="77"/>
      <c r="AP26" s="77"/>
    </row>
    <row r="27" spans="1:42" x14ac:dyDescent="0.25">
      <c r="A27" s="69" t="s">
        <v>29</v>
      </c>
      <c r="B27" s="75">
        <v>2689165.4369999999</v>
      </c>
      <c r="C27" s="75">
        <v>2239628.1399999997</v>
      </c>
      <c r="D27" s="75">
        <v>2182535</v>
      </c>
      <c r="E27" s="75">
        <v>2480586</v>
      </c>
      <c r="F27" s="75">
        <v>2499943</v>
      </c>
      <c r="G27" s="75">
        <v>50392423</v>
      </c>
      <c r="H27" s="75">
        <v>51204779</v>
      </c>
      <c r="I27" s="75">
        <v>51169373</v>
      </c>
      <c r="J27" s="75">
        <v>64954785</v>
      </c>
      <c r="K27" s="75">
        <v>78322312</v>
      </c>
      <c r="L27" s="75">
        <v>4711039</v>
      </c>
      <c r="M27" s="75">
        <v>11202909.579</v>
      </c>
      <c r="N27" s="75">
        <v>11173337</v>
      </c>
      <c r="O27" s="75">
        <v>10387835</v>
      </c>
      <c r="P27" s="75">
        <v>10882169</v>
      </c>
      <c r="Q27" s="75">
        <v>2499943</v>
      </c>
      <c r="R27" s="75"/>
      <c r="S27" s="75">
        <v>78322312</v>
      </c>
      <c r="T27" s="75">
        <v>62197523</v>
      </c>
      <c r="U27" s="75">
        <v>10882169</v>
      </c>
      <c r="V27" s="75">
        <v>14967492</v>
      </c>
      <c r="W27" s="75">
        <v>2499943</v>
      </c>
      <c r="X27" s="75"/>
      <c r="Y27" s="75">
        <v>62197523</v>
      </c>
      <c r="Z27" s="75">
        <v>73300435</v>
      </c>
      <c r="AA27" s="75">
        <v>14967492</v>
      </c>
      <c r="AB27" s="75">
        <v>9766199</v>
      </c>
      <c r="AC27" s="377">
        <v>73300435</v>
      </c>
      <c r="AD27" s="377">
        <v>48439673</v>
      </c>
      <c r="AE27" s="377">
        <v>7681957</v>
      </c>
      <c r="AF27" s="377">
        <v>7271747</v>
      </c>
      <c r="AG27" s="75">
        <v>48501989</v>
      </c>
      <c r="AH27" s="75">
        <v>36780954</v>
      </c>
      <c r="AI27" s="75">
        <v>7271747</v>
      </c>
      <c r="AJ27" s="75">
        <v>9717474</v>
      </c>
      <c r="AK27" s="75">
        <v>81517</v>
      </c>
      <c r="AL27" s="75">
        <v>877194</v>
      </c>
      <c r="AM27" s="75">
        <v>36780954</v>
      </c>
      <c r="AN27" s="75">
        <v>47325781</v>
      </c>
      <c r="AO27" s="75">
        <v>9717474</v>
      </c>
      <c r="AP27" s="75">
        <v>9062196</v>
      </c>
    </row>
    <row r="28" spans="1:42" x14ac:dyDescent="0.25">
      <c r="A28" s="69" t="s">
        <v>30</v>
      </c>
      <c r="B28" s="75">
        <v>185072.09299999999</v>
      </c>
      <c r="C28" s="75">
        <v>79139.175000000003</v>
      </c>
      <c r="D28" s="75">
        <v>27286</v>
      </c>
      <c r="E28" s="78">
        <v>50824</v>
      </c>
      <c r="F28" s="78">
        <v>178899</v>
      </c>
      <c r="G28" s="75">
        <v>2191517</v>
      </c>
      <c r="H28" s="75">
        <v>3478026</v>
      </c>
      <c r="I28" s="75">
        <v>4254872</v>
      </c>
      <c r="J28" s="75">
        <v>8630347</v>
      </c>
      <c r="K28" s="75">
        <v>8749729</v>
      </c>
      <c r="L28" s="75">
        <v>226997.81400000001</v>
      </c>
      <c r="M28" s="75">
        <v>0</v>
      </c>
      <c r="N28" s="75">
        <v>270771</v>
      </c>
      <c r="O28" s="75">
        <v>587033</v>
      </c>
      <c r="P28" s="75">
        <v>651912</v>
      </c>
      <c r="Q28" s="75">
        <v>178899</v>
      </c>
      <c r="R28" s="75"/>
      <c r="S28" s="75">
        <v>8749729</v>
      </c>
      <c r="T28" s="75">
        <v>16868155</v>
      </c>
      <c r="U28" s="75">
        <v>651912</v>
      </c>
      <c r="V28" s="75">
        <v>1343986</v>
      </c>
      <c r="W28" s="75">
        <v>178899</v>
      </c>
      <c r="X28" s="75"/>
      <c r="Y28" s="75">
        <v>16868155</v>
      </c>
      <c r="Z28" s="75">
        <v>4870665</v>
      </c>
      <c r="AA28" s="75">
        <v>1343986</v>
      </c>
      <c r="AB28" s="75">
        <v>1339621</v>
      </c>
      <c r="AC28" s="377">
        <v>4870665</v>
      </c>
      <c r="AD28" s="377">
        <v>11985425</v>
      </c>
      <c r="AE28" s="377">
        <f>1813041+276163+1408223</f>
        <v>3497427</v>
      </c>
      <c r="AF28" s="377">
        <f>2968514+229107+1217329</f>
        <v>4414950</v>
      </c>
      <c r="AG28" s="75">
        <v>11035231</v>
      </c>
      <c r="AH28" s="75">
        <v>9336044</v>
      </c>
      <c r="AI28" s="75">
        <v>4414950</v>
      </c>
      <c r="AJ28" s="75">
        <v>1035083</v>
      </c>
      <c r="AK28" s="75">
        <v>25730</v>
      </c>
      <c r="AL28" s="75">
        <v>495816</v>
      </c>
      <c r="AM28" s="75">
        <v>9336044</v>
      </c>
      <c r="AN28" s="75">
        <v>11561145</v>
      </c>
      <c r="AO28" s="75">
        <v>1035083</v>
      </c>
      <c r="AP28" s="75">
        <v>552654</v>
      </c>
    </row>
    <row r="29" spans="1:42" x14ac:dyDescent="0.25">
      <c r="A29" s="69" t="s">
        <v>31</v>
      </c>
      <c r="B29" s="75">
        <v>14115.3</v>
      </c>
      <c r="C29" s="75">
        <v>6401</v>
      </c>
      <c r="D29" s="75">
        <v>16888</v>
      </c>
      <c r="E29" s="75">
        <v>28711</v>
      </c>
      <c r="F29" s="75">
        <v>4695</v>
      </c>
      <c r="G29" s="75">
        <v>605880</v>
      </c>
      <c r="H29" s="75">
        <v>684540</v>
      </c>
      <c r="I29" s="75">
        <v>794097</v>
      </c>
      <c r="J29" s="75">
        <v>1159205</v>
      </c>
      <c r="K29" s="75">
        <v>1548513</v>
      </c>
      <c r="L29" s="75">
        <v>29664</v>
      </c>
      <c r="M29" s="79">
        <v>-85875.9</v>
      </c>
      <c r="N29" s="75">
        <v>0</v>
      </c>
      <c r="O29" s="75">
        <v>114684</v>
      </c>
      <c r="P29" s="75">
        <v>115746</v>
      </c>
      <c r="Q29" s="75">
        <v>4695</v>
      </c>
      <c r="R29" s="75"/>
      <c r="S29" s="75">
        <v>1548513</v>
      </c>
      <c r="T29" s="75">
        <v>1695448</v>
      </c>
      <c r="U29" s="75">
        <v>115746</v>
      </c>
      <c r="V29" s="79">
        <v>203396</v>
      </c>
      <c r="W29" s="75">
        <v>4695</v>
      </c>
      <c r="X29" s="75"/>
      <c r="Y29" s="75">
        <v>1695448</v>
      </c>
      <c r="Z29" s="75">
        <v>1564661</v>
      </c>
      <c r="AA29" s="75">
        <v>203396</v>
      </c>
      <c r="AB29" s="75">
        <v>161249</v>
      </c>
      <c r="AC29" s="377">
        <v>1564661</v>
      </c>
      <c r="AD29" s="377">
        <v>150313</v>
      </c>
      <c r="AE29" s="377">
        <v>122528</v>
      </c>
      <c r="AF29" s="377">
        <v>49949</v>
      </c>
      <c r="AG29" s="75">
        <v>-694328</v>
      </c>
      <c r="AH29" s="75">
        <v>1720720</v>
      </c>
      <c r="AI29" s="75">
        <v>49949</v>
      </c>
      <c r="AJ29" s="75"/>
      <c r="AK29" s="75"/>
      <c r="AL29" s="75"/>
      <c r="AM29" s="75">
        <v>1720720</v>
      </c>
      <c r="AN29" s="75">
        <v>-394439</v>
      </c>
      <c r="AO29" s="75"/>
      <c r="AP29" s="75"/>
    </row>
    <row r="30" spans="1:42" ht="15.75" thickBot="1" x14ac:dyDescent="0.3">
      <c r="A30" s="84" t="s">
        <v>32</v>
      </c>
      <c r="B30" s="85">
        <v>2888352.8299999996</v>
      </c>
      <c r="C30" s="85">
        <v>2325168.3149999995</v>
      </c>
      <c r="D30" s="85">
        <v>2226709</v>
      </c>
      <c r="E30" s="85">
        <v>2560121</v>
      </c>
      <c r="F30" s="85">
        <v>2683537</v>
      </c>
      <c r="G30" s="85">
        <v>53189820</v>
      </c>
      <c r="H30" s="85">
        <v>55367345</v>
      </c>
      <c r="I30" s="85">
        <v>56218342</v>
      </c>
      <c r="J30" s="85">
        <v>74744337</v>
      </c>
      <c r="K30" s="85">
        <v>88620554</v>
      </c>
      <c r="L30" s="85">
        <v>4967700.8140000002</v>
      </c>
      <c r="M30" s="85">
        <v>11117033.679</v>
      </c>
      <c r="N30" s="85">
        <v>11444108</v>
      </c>
      <c r="O30" s="85">
        <v>11089552</v>
      </c>
      <c r="P30" s="85">
        <v>11649827</v>
      </c>
      <c r="Q30" s="85">
        <v>2683537</v>
      </c>
      <c r="R30" s="85">
        <v>0</v>
      </c>
      <c r="S30" s="85">
        <v>88620554</v>
      </c>
      <c r="T30" s="85">
        <v>80761126</v>
      </c>
      <c r="U30" s="85">
        <v>11649827</v>
      </c>
      <c r="V30" s="85">
        <v>16514874</v>
      </c>
      <c r="W30" s="85">
        <v>2683537</v>
      </c>
      <c r="X30" s="85">
        <v>0</v>
      </c>
      <c r="Y30" s="85">
        <v>80761126</v>
      </c>
      <c r="Z30" s="85">
        <v>79735761</v>
      </c>
      <c r="AA30" s="85">
        <v>16514874</v>
      </c>
      <c r="AB30" s="85">
        <v>11267069</v>
      </c>
      <c r="AC30" s="384">
        <v>79735761</v>
      </c>
      <c r="AD30" s="384">
        <f>SUM(AD27:AD29)</f>
        <v>60575411</v>
      </c>
      <c r="AE30" s="384">
        <f>SUM(AE27:AE29)</f>
        <v>11301912</v>
      </c>
      <c r="AF30" s="384">
        <f>SUM(AF27:AF29)</f>
        <v>11736646</v>
      </c>
      <c r="AG30" s="85">
        <v>58842892</v>
      </c>
      <c r="AH30" s="85">
        <v>47837718</v>
      </c>
      <c r="AI30" s="85">
        <v>11736646</v>
      </c>
      <c r="AJ30" s="85">
        <v>10752557</v>
      </c>
      <c r="AK30" s="85">
        <v>107247</v>
      </c>
      <c r="AL30" s="85">
        <v>1373010</v>
      </c>
      <c r="AM30" s="85">
        <v>47837718</v>
      </c>
      <c r="AN30" s="85">
        <v>58492487</v>
      </c>
      <c r="AO30" s="85">
        <v>10752557</v>
      </c>
      <c r="AP30" s="85">
        <v>9614850</v>
      </c>
    </row>
    <row r="31" spans="1:42" ht="15.75" thickBot="1" x14ac:dyDescent="0.3">
      <c r="A31" s="87" t="s">
        <v>33</v>
      </c>
      <c r="B31" s="88">
        <v>137289.28700000001</v>
      </c>
      <c r="C31" s="88">
        <v>-140992.08799999952</v>
      </c>
      <c r="D31" s="88">
        <v>51209</v>
      </c>
      <c r="E31" s="88">
        <v>126029</v>
      </c>
      <c r="F31" s="88">
        <v>-296219</v>
      </c>
      <c r="G31" s="88">
        <v>-1883386</v>
      </c>
      <c r="H31" s="88">
        <v>247317</v>
      </c>
      <c r="I31" s="88">
        <v>1974141</v>
      </c>
      <c r="J31" s="88">
        <v>5010886</v>
      </c>
      <c r="K31" s="88">
        <v>-2081272</v>
      </c>
      <c r="L31" s="88">
        <v>237324</v>
      </c>
      <c r="M31" s="88">
        <v>-2368373.6579999998</v>
      </c>
      <c r="N31" s="88">
        <v>457233</v>
      </c>
      <c r="O31" s="88">
        <v>868667</v>
      </c>
      <c r="P31" s="88">
        <v>954439</v>
      </c>
      <c r="Q31" s="232">
        <v>-296219</v>
      </c>
      <c r="R31" s="232">
        <v>0</v>
      </c>
      <c r="S31" s="232">
        <v>-2081272</v>
      </c>
      <c r="T31" s="232">
        <v>15102398</v>
      </c>
      <c r="U31" s="232">
        <v>954439</v>
      </c>
      <c r="V31" s="232">
        <v>1881637</v>
      </c>
      <c r="W31" s="297">
        <v>-296219</v>
      </c>
      <c r="X31" s="297">
        <v>0</v>
      </c>
      <c r="Y31" s="297">
        <v>15102398</v>
      </c>
      <c r="Z31" s="297">
        <v>6265239</v>
      </c>
      <c r="AA31" s="297">
        <v>1881637</v>
      </c>
      <c r="AB31" s="297">
        <v>656952</v>
      </c>
      <c r="AC31" s="385">
        <v>6265239</v>
      </c>
      <c r="AD31" s="385">
        <f>+AD23-AD27</f>
        <v>6069048</v>
      </c>
      <c r="AE31" s="385">
        <f>+AE23-AE27</f>
        <v>2741193</v>
      </c>
      <c r="AF31" s="385">
        <f>+AF23-AF27</f>
        <v>4374372</v>
      </c>
      <c r="AG31" s="297">
        <v>3138876</v>
      </c>
      <c r="AH31" s="297">
        <v>8939928</v>
      </c>
      <c r="AI31" s="297">
        <v>4374372</v>
      </c>
      <c r="AJ31" s="297">
        <v>1312337</v>
      </c>
      <c r="AK31" s="297">
        <v>41993</v>
      </c>
      <c r="AL31" s="297">
        <v>521952</v>
      </c>
      <c r="AM31" s="297">
        <v>8939928</v>
      </c>
      <c r="AN31" s="297">
        <v>10548505</v>
      </c>
      <c r="AO31" s="297">
        <v>1312337</v>
      </c>
      <c r="AP31" s="297">
        <v>699460</v>
      </c>
    </row>
    <row r="32" spans="1:42" ht="15.75" thickBot="1" x14ac:dyDescent="0.3">
      <c r="A32" s="86" t="s">
        <v>34</v>
      </c>
      <c r="B32" s="73">
        <v>28658.335000000428</v>
      </c>
      <c r="C32" s="73">
        <v>-113591.46199999936</v>
      </c>
      <c r="D32" s="73">
        <v>56461</v>
      </c>
      <c r="E32" s="73">
        <v>55292</v>
      </c>
      <c r="F32" s="73">
        <v>-473858</v>
      </c>
      <c r="G32" s="73">
        <v>-325142</v>
      </c>
      <c r="H32" s="73">
        <v>238134</v>
      </c>
      <c r="I32" s="73">
        <v>802718</v>
      </c>
      <c r="J32" s="73">
        <v>765351</v>
      </c>
      <c r="K32" s="73">
        <v>976874</v>
      </c>
      <c r="L32" s="73">
        <v>60226.185999999754</v>
      </c>
      <c r="M32" s="73">
        <v>260229.90100000054</v>
      </c>
      <c r="N32" s="73">
        <v>375808</v>
      </c>
      <c r="O32" s="73">
        <v>232843</v>
      </c>
      <c r="P32" s="73">
        <v>235000</v>
      </c>
      <c r="Q32" s="234">
        <v>-473858</v>
      </c>
      <c r="R32" s="234">
        <v>0</v>
      </c>
      <c r="S32" s="234">
        <v>976874</v>
      </c>
      <c r="T32" s="234">
        <v>1100536</v>
      </c>
      <c r="U32" s="234">
        <v>235000</v>
      </c>
      <c r="V32" s="234">
        <v>394826</v>
      </c>
      <c r="W32" s="298">
        <v>-473858</v>
      </c>
      <c r="X32" s="298">
        <v>0</v>
      </c>
      <c r="Y32" s="298">
        <v>1100536</v>
      </c>
      <c r="Z32" s="298">
        <v>640212</v>
      </c>
      <c r="AA32" s="298">
        <v>394826</v>
      </c>
      <c r="AB32" s="298">
        <v>313010</v>
      </c>
      <c r="AC32" s="386">
        <v>640212</v>
      </c>
      <c r="AD32" s="387">
        <f>+AD25-AD30</f>
        <v>-3818637</v>
      </c>
      <c r="AE32" s="386">
        <f>+AE25-AE30</f>
        <v>233090</v>
      </c>
      <c r="AF32" s="386">
        <f>+AF25-AF30</f>
        <v>66799</v>
      </c>
      <c r="AG32" s="453">
        <v>-4950940</v>
      </c>
      <c r="AH32" s="453">
        <v>-711716</v>
      </c>
      <c r="AI32" s="298">
        <v>66799</v>
      </c>
      <c r="AJ32" s="298">
        <v>576131</v>
      </c>
      <c r="AK32" s="298">
        <v>16263</v>
      </c>
      <c r="AL32" s="298">
        <v>26136</v>
      </c>
      <c r="AM32" s="453">
        <v>-711716</v>
      </c>
      <c r="AN32" s="298">
        <v>541965</v>
      </c>
      <c r="AO32" s="298">
        <v>576131</v>
      </c>
      <c r="AP32" s="298">
        <v>406337</v>
      </c>
    </row>
  </sheetData>
  <mergeCells count="17">
    <mergeCell ref="AA1:AB1"/>
    <mergeCell ref="Y1:Z1"/>
    <mergeCell ref="W1:X1"/>
    <mergeCell ref="AO1:AP1"/>
    <mergeCell ref="AM1:AN1"/>
    <mergeCell ref="AC1:AD1"/>
    <mergeCell ref="AE1:AF1"/>
    <mergeCell ref="AI1:AJ1"/>
    <mergeCell ref="AG1:AH1"/>
    <mergeCell ref="AK1:AL1"/>
    <mergeCell ref="A1:A2"/>
    <mergeCell ref="L1:P1"/>
    <mergeCell ref="G1:K1"/>
    <mergeCell ref="B1:F1"/>
    <mergeCell ref="U1:V1"/>
    <mergeCell ref="S1:T1"/>
    <mergeCell ref="Q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9E23-1CD0-4058-B87D-B42A81E40A51}">
  <dimension ref="A1:AJO30"/>
  <sheetViews>
    <sheetView zoomScale="70" zoomScaleNormal="70" workbookViewId="0">
      <pane xSplit="1" topLeftCell="B1" activePane="topRight" state="frozen"/>
      <selection pane="topRight" activeCell="ABC4" sqref="ABC4"/>
    </sheetView>
  </sheetViews>
  <sheetFormatPr baseColWidth="10" defaultRowHeight="15" x14ac:dyDescent="0.25"/>
  <cols>
    <col min="1" max="1" width="30.28515625" bestFit="1" customWidth="1"/>
    <col min="778" max="778" width="12" customWidth="1"/>
    <col min="779" max="779" width="12" bestFit="1" customWidth="1"/>
    <col min="848" max="849" width="14.140625" bestFit="1" customWidth="1"/>
    <col min="850" max="851" width="12.28515625" bestFit="1" customWidth="1"/>
    <col min="852" max="853" width="14.140625" bestFit="1" customWidth="1"/>
    <col min="854" max="855" width="12.5703125" bestFit="1" customWidth="1"/>
    <col min="856" max="857" width="13.7109375" bestFit="1" customWidth="1"/>
    <col min="858" max="859" width="12.7109375" bestFit="1" customWidth="1"/>
    <col min="948" max="949" width="12.7109375" bestFit="1" customWidth="1"/>
    <col min="950" max="950" width="12.28515625" bestFit="1" customWidth="1"/>
    <col min="951" max="951" width="12.7109375" bestFit="1" customWidth="1"/>
  </cols>
  <sheetData>
    <row r="1" spans="1:951" ht="60" customHeight="1" x14ac:dyDescent="0.25">
      <c r="A1" s="722" t="s">
        <v>0</v>
      </c>
      <c r="B1" s="723" t="s">
        <v>41</v>
      </c>
      <c r="C1" s="723"/>
      <c r="D1" s="723"/>
      <c r="E1" s="723"/>
      <c r="F1" s="723"/>
      <c r="G1" s="724" t="s">
        <v>42</v>
      </c>
      <c r="H1" s="724"/>
      <c r="I1" s="724"/>
      <c r="J1" s="724"/>
      <c r="K1" s="724"/>
      <c r="L1" s="723" t="s">
        <v>43</v>
      </c>
      <c r="M1" s="723"/>
      <c r="N1" s="723"/>
      <c r="O1" s="723"/>
      <c r="P1" s="723"/>
      <c r="Q1" s="723" t="s">
        <v>44</v>
      </c>
      <c r="R1" s="723"/>
      <c r="S1" s="723"/>
      <c r="T1" s="723"/>
      <c r="U1" s="723"/>
      <c r="V1" s="723" t="s">
        <v>45</v>
      </c>
      <c r="W1" s="723"/>
      <c r="X1" s="723"/>
      <c r="Y1" s="723"/>
      <c r="Z1" s="723"/>
      <c r="AA1" s="723" t="s">
        <v>46</v>
      </c>
      <c r="AB1" s="723"/>
      <c r="AC1" s="723"/>
      <c r="AD1" s="723"/>
      <c r="AE1" s="723"/>
      <c r="AF1" s="723" t="s">
        <v>47</v>
      </c>
      <c r="AG1" s="723"/>
      <c r="AH1" s="723"/>
      <c r="AI1" s="723"/>
      <c r="AJ1" s="723"/>
      <c r="AK1" s="723" t="s">
        <v>48</v>
      </c>
      <c r="AL1" s="723"/>
      <c r="AM1" s="723"/>
      <c r="AN1" s="723"/>
      <c r="AO1" s="723"/>
      <c r="AP1" s="723" t="s">
        <v>49</v>
      </c>
      <c r="AQ1" s="723"/>
      <c r="AR1" s="723"/>
      <c r="AS1" s="723"/>
      <c r="AT1" s="723"/>
      <c r="AU1" s="724" t="s">
        <v>50</v>
      </c>
      <c r="AV1" s="724"/>
      <c r="AW1" s="724"/>
      <c r="AX1" s="724"/>
      <c r="AY1" s="724"/>
      <c r="AZ1" s="723" t="s">
        <v>51</v>
      </c>
      <c r="BA1" s="723"/>
      <c r="BB1" s="723"/>
      <c r="BC1" s="723"/>
      <c r="BD1" s="723"/>
      <c r="BE1" s="723" t="s">
        <v>52</v>
      </c>
      <c r="BF1" s="723"/>
      <c r="BG1" s="723"/>
      <c r="BH1" s="723"/>
      <c r="BI1" s="723"/>
      <c r="BJ1" s="724" t="s">
        <v>53</v>
      </c>
      <c r="BK1" s="724"/>
      <c r="BL1" s="724"/>
      <c r="BM1" s="724"/>
      <c r="BN1" s="724"/>
      <c r="BO1" s="723" t="s">
        <v>54</v>
      </c>
      <c r="BP1" s="723"/>
      <c r="BQ1" s="723"/>
      <c r="BR1" s="723"/>
      <c r="BS1" s="723"/>
      <c r="BT1" s="723" t="s">
        <v>55</v>
      </c>
      <c r="BU1" s="723"/>
      <c r="BV1" s="723"/>
      <c r="BW1" s="723"/>
      <c r="BX1" s="723"/>
      <c r="BY1" s="724" t="s">
        <v>56</v>
      </c>
      <c r="BZ1" s="724"/>
      <c r="CA1" s="724"/>
      <c r="CB1" s="724"/>
      <c r="CC1" s="724"/>
      <c r="CD1" s="724" t="s">
        <v>57</v>
      </c>
      <c r="CE1" s="724"/>
      <c r="CF1" s="724"/>
      <c r="CG1" s="724"/>
      <c r="CH1" s="724"/>
      <c r="CI1" s="723" t="s">
        <v>58</v>
      </c>
      <c r="CJ1" s="723"/>
      <c r="CK1" s="723"/>
      <c r="CL1" s="723"/>
      <c r="CM1" s="723"/>
      <c r="CN1" s="723" t="s">
        <v>59</v>
      </c>
      <c r="CO1" s="723"/>
      <c r="CP1" s="723"/>
      <c r="CQ1" s="723"/>
      <c r="CR1" s="723"/>
      <c r="CS1" s="724" t="s">
        <v>60</v>
      </c>
      <c r="CT1" s="724"/>
      <c r="CU1" s="724"/>
      <c r="CV1" s="724"/>
      <c r="CW1" s="724"/>
      <c r="CX1" s="724" t="s">
        <v>61</v>
      </c>
      <c r="CY1" s="724"/>
      <c r="CZ1" s="724"/>
      <c r="DA1" s="724"/>
      <c r="DB1" s="724"/>
      <c r="DC1" s="724" t="s">
        <v>62</v>
      </c>
      <c r="DD1" s="724"/>
      <c r="DE1" s="724"/>
      <c r="DF1" s="724"/>
      <c r="DG1" s="724"/>
      <c r="DH1" s="724" t="s">
        <v>63</v>
      </c>
      <c r="DI1" s="724"/>
      <c r="DJ1" s="724"/>
      <c r="DK1" s="724"/>
      <c r="DL1" s="724"/>
      <c r="DM1" s="724" t="s">
        <v>64</v>
      </c>
      <c r="DN1" s="724"/>
      <c r="DO1" s="724"/>
      <c r="DP1" s="724"/>
      <c r="DQ1" s="724"/>
      <c r="DR1" s="724" t="s">
        <v>65</v>
      </c>
      <c r="DS1" s="724"/>
      <c r="DT1" s="724"/>
      <c r="DU1" s="724"/>
      <c r="DV1" s="724"/>
      <c r="DW1" s="724" t="s">
        <v>66</v>
      </c>
      <c r="DX1" s="724"/>
      <c r="DY1" s="724"/>
      <c r="DZ1" s="724"/>
      <c r="EA1" s="724"/>
      <c r="EB1" s="724" t="s">
        <v>67</v>
      </c>
      <c r="EC1" s="724"/>
      <c r="ED1" s="724"/>
      <c r="EE1" s="724"/>
      <c r="EF1" s="724"/>
      <c r="EG1" s="724" t="s">
        <v>68</v>
      </c>
      <c r="EH1" s="724"/>
      <c r="EI1" s="724"/>
      <c r="EJ1" s="724"/>
      <c r="EK1" s="724"/>
      <c r="EL1" s="724" t="s">
        <v>69</v>
      </c>
      <c r="EM1" s="724"/>
      <c r="EN1" s="724"/>
      <c r="EO1" s="724"/>
      <c r="EP1" s="724"/>
      <c r="EQ1" s="724" t="s">
        <v>70</v>
      </c>
      <c r="ER1" s="724"/>
      <c r="ES1" s="724"/>
      <c r="ET1" s="724"/>
      <c r="EU1" s="724"/>
      <c r="EV1" s="725" t="s">
        <v>42</v>
      </c>
      <c r="EW1" s="725"/>
      <c r="EX1" s="725" t="s">
        <v>84</v>
      </c>
      <c r="EY1" s="725"/>
      <c r="EZ1" s="725" t="s">
        <v>44</v>
      </c>
      <c r="FA1" s="725"/>
      <c r="FB1" s="725" t="s">
        <v>46</v>
      </c>
      <c r="FC1" s="725"/>
      <c r="FD1" s="725" t="s">
        <v>47</v>
      </c>
      <c r="FE1" s="725"/>
      <c r="FF1" s="725" t="s">
        <v>48</v>
      </c>
      <c r="FG1" s="725"/>
      <c r="FH1" s="725" t="s">
        <v>49</v>
      </c>
      <c r="FI1" s="725"/>
      <c r="FJ1" s="725" t="s">
        <v>85</v>
      </c>
      <c r="FK1" s="725"/>
      <c r="FL1" s="725" t="s">
        <v>86</v>
      </c>
      <c r="FM1" s="725"/>
      <c r="FN1" s="725" t="s">
        <v>54</v>
      </c>
      <c r="FO1" s="725"/>
      <c r="FP1" s="725" t="s">
        <v>52</v>
      </c>
      <c r="FQ1" s="725"/>
      <c r="FR1" s="725" t="s">
        <v>87</v>
      </c>
      <c r="FS1" s="725"/>
      <c r="FT1" s="725" t="s">
        <v>51</v>
      </c>
      <c r="FU1" s="725"/>
      <c r="FV1" s="725" t="s">
        <v>56</v>
      </c>
      <c r="FW1" s="725"/>
      <c r="FX1" s="725" t="s">
        <v>67</v>
      </c>
      <c r="FY1" s="725"/>
      <c r="FZ1" s="725" t="s">
        <v>45</v>
      </c>
      <c r="GA1" s="725"/>
      <c r="GB1" s="725" t="s">
        <v>53</v>
      </c>
      <c r="GC1" s="725"/>
      <c r="GD1" s="725" t="s">
        <v>57</v>
      </c>
      <c r="GE1" s="725"/>
      <c r="GF1" s="725" t="s">
        <v>88</v>
      </c>
      <c r="GG1" s="725"/>
      <c r="GH1" s="725" t="s">
        <v>59</v>
      </c>
      <c r="GI1" s="725"/>
      <c r="GJ1" s="725" t="s">
        <v>58</v>
      </c>
      <c r="GK1" s="725"/>
      <c r="GL1" s="725" t="s">
        <v>89</v>
      </c>
      <c r="GM1" s="725"/>
      <c r="GN1" s="725" t="s">
        <v>90</v>
      </c>
      <c r="GO1" s="725"/>
      <c r="GP1" s="725" t="s">
        <v>91</v>
      </c>
      <c r="GQ1" s="725"/>
      <c r="GR1" s="725" t="s">
        <v>92</v>
      </c>
      <c r="GS1" s="725"/>
      <c r="GT1" s="725" t="s">
        <v>93</v>
      </c>
      <c r="GU1" s="725"/>
      <c r="GV1" s="725" t="s">
        <v>94</v>
      </c>
      <c r="GW1" s="725"/>
      <c r="GX1" s="725" t="s">
        <v>95</v>
      </c>
      <c r="GY1" s="725"/>
      <c r="GZ1" s="725" t="s">
        <v>96</v>
      </c>
      <c r="HA1" s="725"/>
      <c r="HB1" s="725" t="s">
        <v>97</v>
      </c>
      <c r="HC1" s="725"/>
      <c r="HD1" s="725" t="s">
        <v>98</v>
      </c>
      <c r="HE1" s="725"/>
      <c r="HF1" s="725" t="s">
        <v>99</v>
      </c>
      <c r="HG1" s="725"/>
      <c r="HH1" s="725" t="s">
        <v>100</v>
      </c>
      <c r="HI1" s="725"/>
      <c r="HJ1" s="725" t="s">
        <v>101</v>
      </c>
      <c r="HK1" s="725"/>
      <c r="HL1" s="725" t="s">
        <v>102</v>
      </c>
      <c r="HM1" s="725"/>
      <c r="HN1" s="725" t="s">
        <v>103</v>
      </c>
      <c r="HO1" s="725"/>
      <c r="HP1" s="725" t="s">
        <v>104</v>
      </c>
      <c r="HQ1" s="725"/>
      <c r="HR1" s="725" t="s">
        <v>105</v>
      </c>
      <c r="HS1" s="725"/>
      <c r="HT1" s="725" t="s">
        <v>68</v>
      </c>
      <c r="HU1" s="725"/>
      <c r="HV1" s="725" t="s">
        <v>69</v>
      </c>
      <c r="HW1" s="725"/>
      <c r="HX1" s="725" t="s">
        <v>106</v>
      </c>
      <c r="HY1" s="725"/>
      <c r="HZ1" s="725" t="s">
        <v>107</v>
      </c>
      <c r="IA1" s="725"/>
      <c r="IB1" s="725" t="s">
        <v>108</v>
      </c>
      <c r="IC1" s="725"/>
      <c r="ID1" s="725" t="s">
        <v>109</v>
      </c>
      <c r="IE1" s="725"/>
      <c r="IF1" s="725" t="s">
        <v>110</v>
      </c>
      <c r="IG1" s="725"/>
      <c r="IH1" s="725" t="s">
        <v>111</v>
      </c>
      <c r="II1" s="725"/>
      <c r="IJ1" s="725" t="s">
        <v>112</v>
      </c>
      <c r="IK1" s="725"/>
      <c r="IL1" s="725" t="s">
        <v>70</v>
      </c>
      <c r="IM1" s="725"/>
      <c r="IN1" s="725" t="s">
        <v>113</v>
      </c>
      <c r="IO1" s="725"/>
      <c r="IP1" s="725" t="s">
        <v>61</v>
      </c>
      <c r="IQ1" s="725"/>
      <c r="IR1" s="725" t="s">
        <v>62</v>
      </c>
      <c r="IS1" s="725"/>
      <c r="IT1" s="725" t="s">
        <v>114</v>
      </c>
      <c r="IU1" s="725"/>
      <c r="IV1" s="725" t="s">
        <v>64</v>
      </c>
      <c r="IW1" s="725"/>
      <c r="IX1" s="725" t="s">
        <v>65</v>
      </c>
      <c r="IY1" s="725"/>
      <c r="IZ1" s="725" t="s">
        <v>66</v>
      </c>
      <c r="JA1" s="725"/>
      <c r="JB1" s="726" t="s">
        <v>42</v>
      </c>
      <c r="JC1" s="726"/>
      <c r="JD1" s="726" t="s">
        <v>84</v>
      </c>
      <c r="JE1" s="726"/>
      <c r="JF1" s="726" t="s">
        <v>44</v>
      </c>
      <c r="JG1" s="726"/>
      <c r="JH1" s="726" t="s">
        <v>46</v>
      </c>
      <c r="JI1" s="726"/>
      <c r="JJ1" s="726" t="s">
        <v>47</v>
      </c>
      <c r="JK1" s="726"/>
      <c r="JL1" s="726" t="s">
        <v>48</v>
      </c>
      <c r="JM1" s="726"/>
      <c r="JN1" s="726" t="s">
        <v>118</v>
      </c>
      <c r="JO1" s="726"/>
      <c r="JP1" s="726" t="s">
        <v>119</v>
      </c>
      <c r="JQ1" s="726"/>
      <c r="JR1" s="726" t="s">
        <v>86</v>
      </c>
      <c r="JS1" s="726"/>
      <c r="JT1" s="726" t="s">
        <v>54</v>
      </c>
      <c r="JU1" s="726"/>
      <c r="JV1" s="726" t="s">
        <v>52</v>
      </c>
      <c r="JW1" s="726"/>
      <c r="JX1" s="726" t="s">
        <v>120</v>
      </c>
      <c r="JY1" s="726"/>
      <c r="JZ1" s="726" t="s">
        <v>51</v>
      </c>
      <c r="KA1" s="726"/>
      <c r="KB1" s="726" t="s">
        <v>56</v>
      </c>
      <c r="KC1" s="726"/>
      <c r="KD1" s="726" t="s">
        <v>67</v>
      </c>
      <c r="KE1" s="726"/>
      <c r="KF1" s="726" t="s">
        <v>45</v>
      </c>
      <c r="KG1" s="726"/>
      <c r="KH1" s="726" t="s">
        <v>53</v>
      </c>
      <c r="KI1" s="726"/>
      <c r="KJ1" s="726" t="s">
        <v>57</v>
      </c>
      <c r="KK1" s="726"/>
      <c r="KL1" s="726" t="s">
        <v>121</v>
      </c>
      <c r="KM1" s="726"/>
      <c r="KN1" s="726" t="s">
        <v>59</v>
      </c>
      <c r="KO1" s="726"/>
      <c r="KP1" s="726" t="s">
        <v>58</v>
      </c>
      <c r="KQ1" s="726"/>
      <c r="KR1" s="726" t="s">
        <v>89</v>
      </c>
      <c r="KS1" s="726"/>
      <c r="KT1" s="726" t="s">
        <v>90</v>
      </c>
      <c r="KU1" s="726"/>
      <c r="KV1" s="726" t="s">
        <v>91</v>
      </c>
      <c r="KW1" s="726"/>
      <c r="KX1" s="726" t="s">
        <v>122</v>
      </c>
      <c r="KY1" s="726"/>
      <c r="KZ1" s="726" t="s">
        <v>93</v>
      </c>
      <c r="LA1" s="726"/>
      <c r="LB1" s="726" t="s">
        <v>94</v>
      </c>
      <c r="LC1" s="726"/>
      <c r="LD1" s="726" t="s">
        <v>95</v>
      </c>
      <c r="LE1" s="726"/>
      <c r="LF1" s="726" t="s">
        <v>96</v>
      </c>
      <c r="LG1" s="726"/>
      <c r="LH1" s="726" t="s">
        <v>97</v>
      </c>
      <c r="LI1" s="726"/>
      <c r="LJ1" s="726" t="s">
        <v>98</v>
      </c>
      <c r="LK1" s="726"/>
      <c r="LL1" s="726" t="s">
        <v>99</v>
      </c>
      <c r="LM1" s="726"/>
      <c r="LN1" s="726" t="s">
        <v>100</v>
      </c>
      <c r="LO1" s="726"/>
      <c r="LP1" s="726" t="s">
        <v>101</v>
      </c>
      <c r="LQ1" s="726"/>
      <c r="LR1" s="726" t="s">
        <v>102</v>
      </c>
      <c r="LS1" s="726"/>
      <c r="LT1" s="726" t="s">
        <v>103</v>
      </c>
      <c r="LU1" s="726"/>
      <c r="LV1" s="726" t="s">
        <v>104</v>
      </c>
      <c r="LW1" s="726"/>
      <c r="LX1" s="726" t="s">
        <v>105</v>
      </c>
      <c r="LY1" s="726"/>
      <c r="LZ1" s="726" t="s">
        <v>123</v>
      </c>
      <c r="MA1" s="726"/>
      <c r="MB1" s="726" t="s">
        <v>69</v>
      </c>
      <c r="MC1" s="726"/>
      <c r="MD1" s="726" t="s">
        <v>106</v>
      </c>
      <c r="ME1" s="726"/>
      <c r="MF1" s="726" t="s">
        <v>107</v>
      </c>
      <c r="MG1" s="726"/>
      <c r="MH1" s="726" t="s">
        <v>108</v>
      </c>
      <c r="MI1" s="726"/>
      <c r="MJ1" s="726" t="s">
        <v>109</v>
      </c>
      <c r="MK1" s="726"/>
      <c r="ML1" s="726" t="s">
        <v>110</v>
      </c>
      <c r="MM1" s="726"/>
      <c r="MN1" s="726" t="s">
        <v>111</v>
      </c>
      <c r="MO1" s="726"/>
      <c r="MP1" s="726" t="s">
        <v>112</v>
      </c>
      <c r="MQ1" s="726"/>
      <c r="MR1" s="726" t="s">
        <v>70</v>
      </c>
      <c r="MS1" s="726"/>
      <c r="MT1" s="726" t="s">
        <v>113</v>
      </c>
      <c r="MU1" s="726"/>
      <c r="MV1" s="726" t="s">
        <v>61</v>
      </c>
      <c r="MW1" s="726"/>
      <c r="MX1" s="726" t="s">
        <v>62</v>
      </c>
      <c r="MY1" s="726"/>
      <c r="MZ1" s="726" t="s">
        <v>114</v>
      </c>
      <c r="NA1" s="726"/>
      <c r="NB1" s="726" t="s">
        <v>124</v>
      </c>
      <c r="NC1" s="726"/>
      <c r="ND1" s="726" t="s">
        <v>65</v>
      </c>
      <c r="NE1" s="726"/>
      <c r="NF1" s="726" t="s">
        <v>66</v>
      </c>
      <c r="NG1" s="726"/>
      <c r="NH1" s="727" t="s">
        <v>42</v>
      </c>
      <c r="NI1" s="727"/>
      <c r="NJ1" s="727" t="s">
        <v>84</v>
      </c>
      <c r="NK1" s="727"/>
      <c r="NL1" s="727" t="s">
        <v>44</v>
      </c>
      <c r="NM1" s="727"/>
      <c r="NN1" s="727" t="s">
        <v>46</v>
      </c>
      <c r="NO1" s="727"/>
      <c r="NP1" s="727" t="s">
        <v>47</v>
      </c>
      <c r="NQ1" s="727"/>
      <c r="NR1" s="727" t="s">
        <v>48</v>
      </c>
      <c r="NS1" s="727"/>
      <c r="NT1" s="727" t="s">
        <v>125</v>
      </c>
      <c r="NU1" s="727"/>
      <c r="NV1" s="727" t="s">
        <v>126</v>
      </c>
      <c r="NW1" s="727"/>
      <c r="NX1" s="727" t="s">
        <v>86</v>
      </c>
      <c r="NY1" s="727"/>
      <c r="NZ1" s="727" t="s">
        <v>54</v>
      </c>
      <c r="OA1" s="727"/>
      <c r="OB1" s="727" t="s">
        <v>52</v>
      </c>
      <c r="OC1" s="727"/>
      <c r="OD1" s="727" t="s">
        <v>127</v>
      </c>
      <c r="OE1" s="727"/>
      <c r="OF1" s="727" t="s">
        <v>51</v>
      </c>
      <c r="OG1" s="727"/>
      <c r="OH1" s="727" t="s">
        <v>56</v>
      </c>
      <c r="OI1" s="727"/>
      <c r="OJ1" s="727" t="s">
        <v>67</v>
      </c>
      <c r="OK1" s="727"/>
      <c r="OL1" s="727" t="s">
        <v>45</v>
      </c>
      <c r="OM1" s="727"/>
      <c r="ON1" s="727" t="s">
        <v>53</v>
      </c>
      <c r="OO1" s="727"/>
      <c r="OP1" s="727" t="s">
        <v>57</v>
      </c>
      <c r="OQ1" s="727"/>
      <c r="OR1" s="727" t="s">
        <v>121</v>
      </c>
      <c r="OS1" s="727"/>
      <c r="OT1" s="727" t="s">
        <v>59</v>
      </c>
      <c r="OU1" s="727"/>
      <c r="OV1" s="727" t="s">
        <v>58</v>
      </c>
      <c r="OW1" s="727"/>
      <c r="OX1" s="727" t="s">
        <v>89</v>
      </c>
      <c r="OY1" s="727"/>
      <c r="OZ1" s="727" t="s">
        <v>90</v>
      </c>
      <c r="PA1" s="727"/>
      <c r="PB1" s="727" t="s">
        <v>91</v>
      </c>
      <c r="PC1" s="727"/>
      <c r="PD1" s="727" t="s">
        <v>128</v>
      </c>
      <c r="PE1" s="727"/>
      <c r="PF1" s="727" t="s">
        <v>93</v>
      </c>
      <c r="PG1" s="727"/>
      <c r="PH1" s="727" t="s">
        <v>94</v>
      </c>
      <c r="PI1" s="727"/>
      <c r="PJ1" s="727" t="s">
        <v>129</v>
      </c>
      <c r="PK1" s="727"/>
      <c r="PL1" s="727" t="s">
        <v>130</v>
      </c>
      <c r="PM1" s="727"/>
      <c r="PN1" s="727" t="s">
        <v>97</v>
      </c>
      <c r="PO1" s="727"/>
      <c r="PP1" s="727" t="s">
        <v>98</v>
      </c>
      <c r="PQ1" s="727"/>
      <c r="PR1" s="727" t="s">
        <v>99</v>
      </c>
      <c r="PS1" s="727"/>
      <c r="PT1" s="727" t="s">
        <v>100</v>
      </c>
      <c r="PU1" s="727"/>
      <c r="PV1" s="727" t="s">
        <v>101</v>
      </c>
      <c r="PW1" s="727"/>
      <c r="PX1" s="727" t="s">
        <v>102</v>
      </c>
      <c r="PY1" s="727"/>
      <c r="PZ1" s="727" t="s">
        <v>103</v>
      </c>
      <c r="QA1" s="727"/>
      <c r="QB1" s="727" t="s">
        <v>104</v>
      </c>
      <c r="QC1" s="727"/>
      <c r="QD1" s="727" t="s">
        <v>105</v>
      </c>
      <c r="QE1" s="727"/>
      <c r="QF1" s="727" t="s">
        <v>123</v>
      </c>
      <c r="QG1" s="727"/>
      <c r="QH1" s="727" t="s">
        <v>69</v>
      </c>
      <c r="QI1" s="727"/>
      <c r="QJ1" s="727" t="s">
        <v>106</v>
      </c>
      <c r="QK1" s="727"/>
      <c r="QL1" s="727" t="s">
        <v>107</v>
      </c>
      <c r="QM1" s="727"/>
      <c r="QN1" s="727" t="s">
        <v>108</v>
      </c>
      <c r="QO1" s="727"/>
      <c r="QP1" s="727" t="s">
        <v>109</v>
      </c>
      <c r="QQ1" s="727"/>
      <c r="QR1" s="727" t="s">
        <v>110</v>
      </c>
      <c r="QS1" s="727"/>
      <c r="QT1" s="727" t="s">
        <v>111</v>
      </c>
      <c r="QU1" s="727"/>
      <c r="QV1" s="727" t="s">
        <v>112</v>
      </c>
      <c r="QW1" s="727"/>
      <c r="QX1" s="727" t="s">
        <v>70</v>
      </c>
      <c r="QY1" s="727"/>
      <c r="QZ1" s="727" t="s">
        <v>113</v>
      </c>
      <c r="RA1" s="727"/>
      <c r="RB1" s="727" t="s">
        <v>61</v>
      </c>
      <c r="RC1" s="727"/>
      <c r="RD1" s="727" t="s">
        <v>62</v>
      </c>
      <c r="RE1" s="727"/>
      <c r="RF1" s="727" t="s">
        <v>114</v>
      </c>
      <c r="RG1" s="727"/>
      <c r="RH1" s="727" t="s">
        <v>124</v>
      </c>
      <c r="RI1" s="727"/>
      <c r="RJ1" s="727" t="s">
        <v>65</v>
      </c>
      <c r="RK1" s="727"/>
      <c r="RL1" s="727" t="s">
        <v>131</v>
      </c>
      <c r="RM1" s="727"/>
      <c r="RN1" s="726" t="s">
        <v>42</v>
      </c>
      <c r="RO1" s="726"/>
      <c r="RP1" s="726" t="s">
        <v>84</v>
      </c>
      <c r="RQ1" s="726"/>
      <c r="RR1" s="726" t="s">
        <v>44</v>
      </c>
      <c r="RS1" s="726"/>
      <c r="RT1" s="726" t="s">
        <v>46</v>
      </c>
      <c r="RU1" s="726"/>
      <c r="RV1" s="726" t="s">
        <v>47</v>
      </c>
      <c r="RW1" s="726"/>
      <c r="RX1" s="726" t="s">
        <v>48</v>
      </c>
      <c r="RY1" s="726"/>
      <c r="RZ1" s="726" t="s">
        <v>125</v>
      </c>
      <c r="SA1" s="726"/>
      <c r="SB1" s="726" t="s">
        <v>126</v>
      </c>
      <c r="SC1" s="726"/>
      <c r="SD1" s="726" t="s">
        <v>86</v>
      </c>
      <c r="SE1" s="726"/>
      <c r="SF1" s="726" t="s">
        <v>54</v>
      </c>
      <c r="SG1" s="726"/>
      <c r="SH1" s="726" t="s">
        <v>52</v>
      </c>
      <c r="SI1" s="726"/>
      <c r="SJ1" s="726" t="s">
        <v>132</v>
      </c>
      <c r="SK1" s="726"/>
      <c r="SL1" s="726" t="s">
        <v>133</v>
      </c>
      <c r="SM1" s="726"/>
      <c r="SN1" s="726" t="s">
        <v>56</v>
      </c>
      <c r="SO1" s="726"/>
      <c r="SP1" s="726" t="s">
        <v>67</v>
      </c>
      <c r="SQ1" s="726"/>
      <c r="SR1" s="726" t="s">
        <v>45</v>
      </c>
      <c r="SS1" s="726"/>
      <c r="ST1" s="726" t="s">
        <v>134</v>
      </c>
      <c r="SU1" s="726"/>
      <c r="SV1" s="726" t="s">
        <v>57</v>
      </c>
      <c r="SW1" s="726"/>
      <c r="SX1" s="726" t="s">
        <v>121</v>
      </c>
      <c r="SY1" s="726"/>
      <c r="SZ1" s="726" t="s">
        <v>59</v>
      </c>
      <c r="TA1" s="726"/>
      <c r="TB1" s="726" t="s">
        <v>135</v>
      </c>
      <c r="TC1" s="726"/>
      <c r="TD1" s="726" t="s">
        <v>89</v>
      </c>
      <c r="TE1" s="726"/>
      <c r="TF1" s="726" t="s">
        <v>90</v>
      </c>
      <c r="TG1" s="726"/>
      <c r="TH1" s="726" t="s">
        <v>91</v>
      </c>
      <c r="TI1" s="726"/>
      <c r="TJ1" s="726" t="s">
        <v>128</v>
      </c>
      <c r="TK1" s="726"/>
      <c r="TL1" s="726" t="s">
        <v>93</v>
      </c>
      <c r="TM1" s="726"/>
      <c r="TN1" s="726" t="s">
        <v>94</v>
      </c>
      <c r="TO1" s="726"/>
      <c r="TP1" s="726" t="s">
        <v>129</v>
      </c>
      <c r="TQ1" s="726"/>
      <c r="TR1" s="726" t="s">
        <v>130</v>
      </c>
      <c r="TS1" s="726"/>
      <c r="TT1" s="726" t="s">
        <v>97</v>
      </c>
      <c r="TU1" s="726"/>
      <c r="TV1" s="726" t="s">
        <v>98</v>
      </c>
      <c r="TW1" s="726"/>
      <c r="TX1" s="726" t="s">
        <v>99</v>
      </c>
      <c r="TY1" s="726"/>
      <c r="TZ1" s="726" t="s">
        <v>100</v>
      </c>
      <c r="UA1" s="726"/>
      <c r="UB1" s="726" t="s">
        <v>136</v>
      </c>
      <c r="UC1" s="726"/>
      <c r="UD1" s="726" t="s">
        <v>102</v>
      </c>
      <c r="UE1" s="726"/>
      <c r="UF1" s="726" t="s">
        <v>103</v>
      </c>
      <c r="UG1" s="726"/>
      <c r="UH1" s="726" t="s">
        <v>104</v>
      </c>
      <c r="UI1" s="726"/>
      <c r="UJ1" s="726" t="s">
        <v>105</v>
      </c>
      <c r="UK1" s="726"/>
      <c r="UL1" s="726" t="s">
        <v>137</v>
      </c>
      <c r="UM1" s="726"/>
      <c r="UN1" s="726" t="s">
        <v>69</v>
      </c>
      <c r="UO1" s="726"/>
      <c r="UP1" s="726" t="s">
        <v>106</v>
      </c>
      <c r="UQ1" s="726"/>
      <c r="UR1" s="726" t="s">
        <v>107</v>
      </c>
      <c r="US1" s="726"/>
      <c r="UT1" s="726" t="s">
        <v>138</v>
      </c>
      <c r="UU1" s="726"/>
      <c r="UV1" s="726" t="s">
        <v>109</v>
      </c>
      <c r="UW1" s="726"/>
      <c r="UX1" s="726" t="s">
        <v>110</v>
      </c>
      <c r="UY1" s="726"/>
      <c r="UZ1" s="726" t="s">
        <v>111</v>
      </c>
      <c r="VA1" s="726"/>
      <c r="VB1" s="726" t="s">
        <v>139</v>
      </c>
      <c r="VC1" s="726"/>
      <c r="VD1" s="726" t="s">
        <v>70</v>
      </c>
      <c r="VE1" s="726"/>
      <c r="VF1" s="726" t="s">
        <v>140</v>
      </c>
      <c r="VG1" s="726"/>
      <c r="VH1" s="726" t="s">
        <v>61</v>
      </c>
      <c r="VI1" s="726"/>
      <c r="VJ1" s="726" t="s">
        <v>62</v>
      </c>
      <c r="VK1" s="726"/>
      <c r="VL1" s="726" t="s">
        <v>114</v>
      </c>
      <c r="VM1" s="726"/>
      <c r="VN1" s="726" t="s">
        <v>141</v>
      </c>
      <c r="VO1" s="726"/>
      <c r="VP1" s="726" t="s">
        <v>65</v>
      </c>
      <c r="VQ1" s="726"/>
      <c r="VR1" s="726" t="s">
        <v>131</v>
      </c>
      <c r="VS1" s="726"/>
      <c r="VT1" s="726" t="s">
        <v>42</v>
      </c>
      <c r="VU1" s="726"/>
      <c r="VV1" s="726" t="s">
        <v>84</v>
      </c>
      <c r="VW1" s="726"/>
      <c r="VX1" s="726" t="s">
        <v>44</v>
      </c>
      <c r="VY1" s="726"/>
      <c r="VZ1" s="726" t="s">
        <v>46</v>
      </c>
      <c r="WA1" s="726"/>
      <c r="WB1" s="726" t="s">
        <v>47</v>
      </c>
      <c r="WC1" s="726"/>
      <c r="WD1" s="726" t="s">
        <v>48</v>
      </c>
      <c r="WE1" s="726"/>
      <c r="WF1" s="726" t="s">
        <v>125</v>
      </c>
      <c r="WG1" s="726"/>
      <c r="WH1" s="726" t="s">
        <v>126</v>
      </c>
      <c r="WI1" s="726"/>
      <c r="WJ1" s="726" t="s">
        <v>86</v>
      </c>
      <c r="WK1" s="726"/>
      <c r="WL1" s="726" t="s">
        <v>54</v>
      </c>
      <c r="WM1" s="726"/>
      <c r="WN1" s="726" t="s">
        <v>52</v>
      </c>
      <c r="WO1" s="726"/>
      <c r="WP1" s="726" t="s">
        <v>132</v>
      </c>
      <c r="WQ1" s="726"/>
      <c r="WR1" s="726" t="s">
        <v>133</v>
      </c>
      <c r="WS1" s="726"/>
      <c r="WT1" s="726" t="s">
        <v>56</v>
      </c>
      <c r="WU1" s="726"/>
      <c r="WV1" s="726" t="s">
        <v>67</v>
      </c>
      <c r="WW1" s="726"/>
      <c r="WX1" s="726" t="s">
        <v>45</v>
      </c>
      <c r="WY1" s="726"/>
      <c r="WZ1" s="726" t="s">
        <v>53</v>
      </c>
      <c r="XA1" s="726"/>
      <c r="XB1" s="726" t="s">
        <v>57</v>
      </c>
      <c r="XC1" s="726"/>
      <c r="XD1" s="726" t="s">
        <v>121</v>
      </c>
      <c r="XE1" s="726"/>
      <c r="XF1" s="726" t="s">
        <v>59</v>
      </c>
      <c r="XG1" s="726"/>
      <c r="XH1" s="726" t="s">
        <v>143</v>
      </c>
      <c r="XI1" s="726"/>
      <c r="XJ1" s="726" t="s">
        <v>89</v>
      </c>
      <c r="XK1" s="726"/>
      <c r="XL1" s="726" t="s">
        <v>90</v>
      </c>
      <c r="XM1" s="726"/>
      <c r="XN1" s="726" t="s">
        <v>91</v>
      </c>
      <c r="XO1" s="726"/>
      <c r="XP1" s="726" t="s">
        <v>128</v>
      </c>
      <c r="XQ1" s="726"/>
      <c r="XR1" s="726" t="s">
        <v>93</v>
      </c>
      <c r="XS1" s="726"/>
      <c r="XT1" s="726" t="s">
        <v>94</v>
      </c>
      <c r="XU1" s="726"/>
      <c r="XV1" s="726" t="s">
        <v>129</v>
      </c>
      <c r="XW1" s="726"/>
      <c r="XX1" s="726" t="s">
        <v>130</v>
      </c>
      <c r="XY1" s="726"/>
      <c r="XZ1" s="726" t="s">
        <v>97</v>
      </c>
      <c r="YA1" s="726"/>
      <c r="YB1" s="726" t="s">
        <v>98</v>
      </c>
      <c r="YC1" s="726"/>
      <c r="YD1" s="726" t="s">
        <v>99</v>
      </c>
      <c r="YE1" s="726"/>
      <c r="YF1" s="726" t="s">
        <v>100</v>
      </c>
      <c r="YG1" s="726"/>
      <c r="YH1" s="726" t="s">
        <v>136</v>
      </c>
      <c r="YI1" s="726"/>
      <c r="YJ1" s="726" t="s">
        <v>102</v>
      </c>
      <c r="YK1" s="726"/>
      <c r="YL1" s="726" t="s">
        <v>103</v>
      </c>
      <c r="YM1" s="726"/>
      <c r="YN1" s="726" t="s">
        <v>104</v>
      </c>
      <c r="YO1" s="726"/>
      <c r="YP1" s="726" t="s">
        <v>105</v>
      </c>
      <c r="YQ1" s="726"/>
      <c r="YR1" s="726" t="s">
        <v>137</v>
      </c>
      <c r="YS1" s="726"/>
      <c r="YT1" s="726" t="s">
        <v>69</v>
      </c>
      <c r="YU1" s="726"/>
      <c r="YV1" s="726" t="s">
        <v>106</v>
      </c>
      <c r="YW1" s="726"/>
      <c r="YX1" s="726" t="s">
        <v>107</v>
      </c>
      <c r="YY1" s="726"/>
      <c r="YZ1" s="726" t="s">
        <v>144</v>
      </c>
      <c r="ZA1" s="726"/>
      <c r="ZB1" s="726" t="s">
        <v>109</v>
      </c>
      <c r="ZC1" s="726"/>
      <c r="ZD1" s="726" t="s">
        <v>110</v>
      </c>
      <c r="ZE1" s="726"/>
      <c r="ZF1" s="726" t="s">
        <v>111</v>
      </c>
      <c r="ZG1" s="726"/>
      <c r="ZH1" s="726" t="s">
        <v>139</v>
      </c>
      <c r="ZI1" s="726"/>
      <c r="ZJ1" s="726" t="s">
        <v>70</v>
      </c>
      <c r="ZK1" s="726"/>
      <c r="ZL1" s="726" t="s">
        <v>140</v>
      </c>
      <c r="ZM1" s="726"/>
      <c r="ZN1" s="726" t="s">
        <v>61</v>
      </c>
      <c r="ZO1" s="726"/>
      <c r="ZP1" s="726" t="s">
        <v>62</v>
      </c>
      <c r="ZQ1" s="726"/>
      <c r="ZR1" s="726" t="s">
        <v>114</v>
      </c>
      <c r="ZS1" s="726"/>
      <c r="ZT1" s="726" t="s">
        <v>145</v>
      </c>
      <c r="ZU1" s="726"/>
      <c r="ZV1" s="726" t="s">
        <v>65</v>
      </c>
      <c r="ZW1" s="726"/>
      <c r="ZX1" s="726" t="s">
        <v>131</v>
      </c>
      <c r="ZY1" s="726"/>
      <c r="ZZ1" s="603" t="s">
        <v>44</v>
      </c>
      <c r="AAA1" s="603"/>
      <c r="AAB1" s="603" t="s">
        <v>46</v>
      </c>
      <c r="AAC1" s="603"/>
      <c r="AAD1" s="603" t="s">
        <v>47</v>
      </c>
      <c r="AAE1" s="603"/>
      <c r="AAF1" s="603" t="s">
        <v>226</v>
      </c>
      <c r="AAG1" s="603"/>
      <c r="AAH1" s="603" t="s">
        <v>86</v>
      </c>
      <c r="AAI1" s="603"/>
      <c r="AAJ1" s="603" t="s">
        <v>133</v>
      </c>
      <c r="AAK1" s="603"/>
      <c r="AAL1" s="603" t="s">
        <v>67</v>
      </c>
      <c r="AAM1" s="603"/>
      <c r="AAN1" s="603" t="s">
        <v>45</v>
      </c>
      <c r="AAO1" s="603"/>
      <c r="AAP1" s="603" t="s">
        <v>53</v>
      </c>
      <c r="AAQ1" s="603"/>
      <c r="AAR1" s="603" t="s">
        <v>57</v>
      </c>
      <c r="AAS1" s="603"/>
      <c r="AAT1" s="603" t="s">
        <v>159</v>
      </c>
      <c r="AAU1" s="603"/>
      <c r="AAV1" s="728" t="s">
        <v>160</v>
      </c>
      <c r="AAW1" s="728"/>
      <c r="AAX1" s="603" t="s">
        <v>59</v>
      </c>
      <c r="AAY1" s="603"/>
      <c r="AAZ1" s="603" t="s">
        <v>161</v>
      </c>
      <c r="ABA1" s="603"/>
      <c r="ABB1" s="603" t="s">
        <v>90</v>
      </c>
      <c r="ABC1" s="603"/>
      <c r="ABD1" s="603" t="s">
        <v>162</v>
      </c>
      <c r="ABE1" s="603"/>
      <c r="ABF1" s="603" t="s">
        <v>163</v>
      </c>
      <c r="ABG1" s="603"/>
      <c r="ABH1" s="603" t="s">
        <v>129</v>
      </c>
      <c r="ABI1" s="603"/>
      <c r="ABJ1" s="603" t="s">
        <v>130</v>
      </c>
      <c r="ABK1" s="603"/>
      <c r="ABL1" s="603" t="s">
        <v>97</v>
      </c>
      <c r="ABM1" s="603"/>
      <c r="ABN1" s="603" t="s">
        <v>98</v>
      </c>
      <c r="ABO1" s="603"/>
      <c r="ABP1" s="603" t="s">
        <v>164</v>
      </c>
      <c r="ABQ1" s="603"/>
      <c r="ABR1" s="603" t="s">
        <v>100</v>
      </c>
      <c r="ABS1" s="603"/>
      <c r="ABT1" s="603" t="s">
        <v>165</v>
      </c>
      <c r="ABU1" s="603"/>
      <c r="ABV1" s="603" t="s">
        <v>102</v>
      </c>
      <c r="ABW1" s="603"/>
      <c r="ABX1" s="603" t="s">
        <v>103</v>
      </c>
      <c r="ABY1" s="603"/>
      <c r="ABZ1" s="603" t="s">
        <v>105</v>
      </c>
      <c r="ACA1" s="603"/>
      <c r="ACB1" s="603" t="s">
        <v>166</v>
      </c>
      <c r="ACC1" s="603"/>
      <c r="ACD1" s="603" t="s">
        <v>69</v>
      </c>
      <c r="ACE1" s="603"/>
      <c r="ACF1" s="603" t="s">
        <v>106</v>
      </c>
      <c r="ACG1" s="603"/>
      <c r="ACH1" s="603" t="s">
        <v>107</v>
      </c>
      <c r="ACI1" s="603"/>
      <c r="ACJ1" s="603" t="s">
        <v>144</v>
      </c>
      <c r="ACK1" s="603"/>
      <c r="ACL1" s="603" t="s">
        <v>110</v>
      </c>
      <c r="ACM1" s="603"/>
      <c r="ACN1" s="603" t="s">
        <v>111</v>
      </c>
      <c r="ACO1" s="603"/>
      <c r="ACP1" s="603" t="s">
        <v>139</v>
      </c>
      <c r="ACQ1" s="603"/>
      <c r="ACR1" s="603" t="s">
        <v>167</v>
      </c>
      <c r="ACS1" s="603"/>
      <c r="ACT1" s="603" t="s">
        <v>61</v>
      </c>
      <c r="ACU1" s="603"/>
      <c r="ACV1" s="603" t="s">
        <v>62</v>
      </c>
      <c r="ACW1" s="603"/>
      <c r="ACX1" s="603" t="s">
        <v>65</v>
      </c>
      <c r="ACY1" s="603"/>
      <c r="ACZ1" s="703" t="s">
        <v>170</v>
      </c>
      <c r="ADA1" s="703"/>
      <c r="ADB1" s="703" t="s">
        <v>171</v>
      </c>
      <c r="ADC1" s="703"/>
      <c r="ADD1" s="703" t="s">
        <v>172</v>
      </c>
      <c r="ADE1" s="703"/>
      <c r="ADF1" s="703" t="s">
        <v>173</v>
      </c>
      <c r="ADG1" s="703"/>
      <c r="ADH1" s="703" t="s">
        <v>174</v>
      </c>
      <c r="ADI1" s="703"/>
      <c r="ADJ1" s="703" t="s">
        <v>175</v>
      </c>
      <c r="ADK1" s="703"/>
      <c r="ADL1" s="703" t="s">
        <v>176</v>
      </c>
      <c r="ADM1" s="703"/>
      <c r="ADN1" s="703" t="s">
        <v>177</v>
      </c>
      <c r="ADO1" s="703"/>
      <c r="ADP1" s="703" t="s">
        <v>227</v>
      </c>
      <c r="ADQ1" s="703"/>
      <c r="ADR1" s="703" t="s">
        <v>178</v>
      </c>
      <c r="ADS1" s="703"/>
      <c r="ADT1" s="703" t="s">
        <v>228</v>
      </c>
      <c r="ADU1" s="703"/>
      <c r="ADV1" s="703" t="s">
        <v>59</v>
      </c>
      <c r="ADW1" s="703"/>
      <c r="ADX1" s="703" t="s">
        <v>229</v>
      </c>
      <c r="ADY1" s="703"/>
      <c r="ADZ1" s="703" t="s">
        <v>179</v>
      </c>
      <c r="AEA1" s="703"/>
      <c r="AEB1" s="703" t="s">
        <v>230</v>
      </c>
      <c r="AEC1" s="703"/>
      <c r="AED1" s="703" t="s">
        <v>163</v>
      </c>
      <c r="AEE1" s="703"/>
      <c r="AEF1" s="703" t="s">
        <v>159</v>
      </c>
      <c r="AEG1" s="703"/>
      <c r="AEH1" s="703" t="s">
        <v>130</v>
      </c>
      <c r="AEI1" s="703"/>
      <c r="AEJ1" s="703" t="s">
        <v>180</v>
      </c>
      <c r="AEK1" s="703"/>
      <c r="AEL1" s="703" t="s">
        <v>98</v>
      </c>
      <c r="AEM1" s="703"/>
      <c r="AEN1" s="703" t="s">
        <v>231</v>
      </c>
      <c r="AEO1" s="703"/>
      <c r="AEP1" s="703" t="s">
        <v>100</v>
      </c>
      <c r="AEQ1" s="703"/>
      <c r="AER1" s="703" t="s">
        <v>181</v>
      </c>
      <c r="AES1" s="703"/>
      <c r="AET1" s="703" t="s">
        <v>232</v>
      </c>
      <c r="AEU1" s="703"/>
      <c r="AEV1" s="703" t="s">
        <v>233</v>
      </c>
      <c r="AEW1" s="703"/>
      <c r="AEX1" s="703" t="s">
        <v>182</v>
      </c>
      <c r="AEY1" s="703"/>
      <c r="AEZ1" s="703" t="s">
        <v>183</v>
      </c>
      <c r="AFA1" s="703"/>
      <c r="AFB1" s="703" t="s">
        <v>105</v>
      </c>
      <c r="AFC1" s="703"/>
      <c r="AFD1" s="703" t="s">
        <v>184</v>
      </c>
      <c r="AFE1" s="703"/>
      <c r="AFF1" s="703" t="s">
        <v>69</v>
      </c>
      <c r="AFG1" s="703"/>
      <c r="AFH1" s="703" t="s">
        <v>106</v>
      </c>
      <c r="AFI1" s="703"/>
      <c r="AFJ1" s="703" t="s">
        <v>185</v>
      </c>
      <c r="AFK1" s="703"/>
      <c r="AFL1" s="703" t="s">
        <v>111</v>
      </c>
      <c r="AFM1" s="703"/>
      <c r="AFN1" s="703" t="s">
        <v>234</v>
      </c>
      <c r="AFO1" s="703"/>
      <c r="AFP1" s="703" t="s">
        <v>235</v>
      </c>
      <c r="AFQ1" s="703"/>
      <c r="AFR1" s="703" t="s">
        <v>236</v>
      </c>
      <c r="AFS1" s="703"/>
      <c r="AFT1" s="703" t="s">
        <v>110</v>
      </c>
      <c r="AFU1" s="703"/>
      <c r="AFV1" s="703" t="s">
        <v>186</v>
      </c>
      <c r="AFW1" s="703"/>
      <c r="AFX1" s="703" t="s">
        <v>65</v>
      </c>
      <c r="AFY1" s="703"/>
      <c r="AFZ1" s="729" t="s">
        <v>237</v>
      </c>
      <c r="AGA1" s="729"/>
      <c r="AGB1" s="729" t="s">
        <v>238</v>
      </c>
      <c r="AGC1" s="729"/>
      <c r="AGD1" s="729" t="s">
        <v>239</v>
      </c>
      <c r="AGE1" s="729"/>
      <c r="AGF1" s="729" t="s">
        <v>240</v>
      </c>
      <c r="AGG1" s="729"/>
      <c r="AGH1" s="729" t="s">
        <v>241</v>
      </c>
      <c r="AGI1" s="729"/>
      <c r="AGJ1" s="729" t="s">
        <v>242</v>
      </c>
      <c r="AGK1" s="729"/>
      <c r="AGL1" s="729" t="s">
        <v>243</v>
      </c>
      <c r="AGM1" s="729"/>
      <c r="AGN1" s="729" t="s">
        <v>244</v>
      </c>
      <c r="AGO1" s="729"/>
      <c r="AGP1" s="729" t="s">
        <v>245</v>
      </c>
      <c r="AGQ1" s="729"/>
      <c r="AGR1" s="729" t="s">
        <v>246</v>
      </c>
      <c r="AGS1" s="729"/>
      <c r="AGT1" s="729" t="s">
        <v>247</v>
      </c>
      <c r="AGU1" s="729"/>
      <c r="AGV1" s="729" t="s">
        <v>248</v>
      </c>
      <c r="AGW1" s="729"/>
      <c r="AGX1" s="729" t="s">
        <v>249</v>
      </c>
      <c r="AGY1" s="729"/>
      <c r="AGZ1" s="729" t="s">
        <v>250</v>
      </c>
      <c r="AHA1" s="729"/>
      <c r="AHB1" s="729" t="s">
        <v>251</v>
      </c>
      <c r="AHC1" s="729"/>
      <c r="AHD1" s="729" t="s">
        <v>252</v>
      </c>
      <c r="AHE1" s="729"/>
      <c r="AHF1" s="729" t="s">
        <v>253</v>
      </c>
      <c r="AHG1" s="729"/>
      <c r="AHH1" s="729" t="s">
        <v>254</v>
      </c>
      <c r="AHI1" s="729"/>
      <c r="AHJ1" s="729" t="s">
        <v>255</v>
      </c>
      <c r="AHK1" s="729"/>
      <c r="AHL1" s="729" t="s">
        <v>256</v>
      </c>
      <c r="AHM1" s="729"/>
      <c r="AHN1" s="729" t="s">
        <v>257</v>
      </c>
      <c r="AHO1" s="729"/>
      <c r="AHP1" s="729" t="s">
        <v>258</v>
      </c>
      <c r="AHQ1" s="729"/>
      <c r="AHR1" s="729" t="s">
        <v>259</v>
      </c>
      <c r="AHS1" s="729"/>
      <c r="AHT1" s="729" t="s">
        <v>260</v>
      </c>
      <c r="AHU1" s="729"/>
      <c r="AHV1" s="729" t="s">
        <v>261</v>
      </c>
      <c r="AHW1" s="729"/>
      <c r="AHX1" s="729" t="s">
        <v>262</v>
      </c>
      <c r="AHY1" s="729"/>
      <c r="AHZ1" s="729" t="s">
        <v>263</v>
      </c>
      <c r="AIA1" s="729"/>
      <c r="AIB1" s="729" t="s">
        <v>264</v>
      </c>
      <c r="AIC1" s="729"/>
      <c r="AID1" s="729" t="s">
        <v>265</v>
      </c>
      <c r="AIE1" s="729"/>
      <c r="AIF1" s="729" t="s">
        <v>266</v>
      </c>
      <c r="AIG1" s="729"/>
      <c r="AIH1" s="729" t="s">
        <v>267</v>
      </c>
      <c r="AII1" s="729"/>
      <c r="AIJ1" s="729" t="s">
        <v>268</v>
      </c>
      <c r="AIK1" s="729"/>
      <c r="AIL1" s="729" t="s">
        <v>269</v>
      </c>
      <c r="AIM1" s="729"/>
      <c r="AIN1" s="729" t="s">
        <v>270</v>
      </c>
      <c r="AIO1" s="729"/>
      <c r="AIP1" s="729" t="s">
        <v>271</v>
      </c>
      <c r="AIQ1" s="729"/>
      <c r="AIR1" s="729" t="s">
        <v>272</v>
      </c>
      <c r="AIS1" s="729"/>
      <c r="AIT1" s="729" t="s">
        <v>273</v>
      </c>
      <c r="AIU1" s="729"/>
      <c r="AIV1" s="729" t="s">
        <v>274</v>
      </c>
      <c r="AIW1" s="729"/>
      <c r="AIX1" s="729" t="s">
        <v>275</v>
      </c>
      <c r="AIY1" s="729"/>
      <c r="AIZ1" s="729" t="s">
        <v>276</v>
      </c>
      <c r="AJA1" s="729"/>
      <c r="AJB1" s="729" t="s">
        <v>277</v>
      </c>
      <c r="AJC1" s="729"/>
      <c r="AJD1" s="729" t="s">
        <v>278</v>
      </c>
      <c r="AJE1" s="729"/>
      <c r="AJF1" s="729" t="s">
        <v>279</v>
      </c>
      <c r="AJG1" s="729"/>
      <c r="AJH1" s="729" t="s">
        <v>280</v>
      </c>
      <c r="AJI1" s="729"/>
      <c r="AJJ1" s="729" t="s">
        <v>281</v>
      </c>
      <c r="AJK1" s="729"/>
      <c r="AJL1" s="729" t="s">
        <v>282</v>
      </c>
      <c r="AJM1" s="729"/>
      <c r="AJN1" s="729" t="s">
        <v>283</v>
      </c>
      <c r="AJO1" s="729"/>
    </row>
    <row r="2" spans="1:951" ht="60" customHeight="1" x14ac:dyDescent="0.25">
      <c r="A2" s="730"/>
      <c r="B2" s="731">
        <v>2008</v>
      </c>
      <c r="C2" s="731">
        <v>2009</v>
      </c>
      <c r="D2" s="731">
        <v>2010</v>
      </c>
      <c r="E2" s="731">
        <v>2011</v>
      </c>
      <c r="F2" s="731">
        <v>2012</v>
      </c>
      <c r="G2" s="731">
        <v>2008</v>
      </c>
      <c r="H2" s="731">
        <v>2009</v>
      </c>
      <c r="I2" s="731">
        <v>2010</v>
      </c>
      <c r="J2" s="731">
        <v>2011</v>
      </c>
      <c r="K2" s="731">
        <v>2012</v>
      </c>
      <c r="L2" s="731">
        <v>2008</v>
      </c>
      <c r="M2" s="731">
        <v>2009</v>
      </c>
      <c r="N2" s="731">
        <v>2010</v>
      </c>
      <c r="O2" s="731">
        <v>2011</v>
      </c>
      <c r="P2" s="731">
        <v>2012</v>
      </c>
      <c r="Q2" s="731">
        <v>2008</v>
      </c>
      <c r="R2" s="731">
        <v>2009</v>
      </c>
      <c r="S2" s="731">
        <v>2010</v>
      </c>
      <c r="T2" s="731">
        <v>2011</v>
      </c>
      <c r="U2" s="731">
        <v>2012</v>
      </c>
      <c r="V2" s="731">
        <v>2008</v>
      </c>
      <c r="W2" s="731">
        <v>2009</v>
      </c>
      <c r="X2" s="731">
        <v>2010</v>
      </c>
      <c r="Y2" s="731">
        <v>2011</v>
      </c>
      <c r="Z2" s="731">
        <v>2012</v>
      </c>
      <c r="AA2" s="731">
        <v>2008</v>
      </c>
      <c r="AB2" s="731">
        <v>2009</v>
      </c>
      <c r="AC2" s="731">
        <v>2010</v>
      </c>
      <c r="AD2" s="731">
        <v>2011</v>
      </c>
      <c r="AE2" s="731">
        <v>2012</v>
      </c>
      <c r="AF2" s="731">
        <v>2008</v>
      </c>
      <c r="AG2" s="731">
        <v>2009</v>
      </c>
      <c r="AH2" s="731">
        <v>2010</v>
      </c>
      <c r="AI2" s="731">
        <v>2011</v>
      </c>
      <c r="AJ2" s="731">
        <v>2012</v>
      </c>
      <c r="AK2" s="731">
        <v>2008</v>
      </c>
      <c r="AL2" s="731">
        <v>2009</v>
      </c>
      <c r="AM2" s="731">
        <v>2010</v>
      </c>
      <c r="AN2" s="731">
        <v>2011</v>
      </c>
      <c r="AO2" s="731">
        <v>2012</v>
      </c>
      <c r="AP2" s="731">
        <v>2008</v>
      </c>
      <c r="AQ2" s="731">
        <v>2009</v>
      </c>
      <c r="AR2" s="731">
        <v>2010</v>
      </c>
      <c r="AS2" s="731">
        <v>2011</v>
      </c>
      <c r="AT2" s="731">
        <v>2012</v>
      </c>
      <c r="AU2" s="731">
        <v>2008</v>
      </c>
      <c r="AV2" s="731">
        <v>2009</v>
      </c>
      <c r="AW2" s="731">
        <v>2010</v>
      </c>
      <c r="AX2" s="731">
        <v>2011</v>
      </c>
      <c r="AY2" s="731">
        <v>2012</v>
      </c>
      <c r="AZ2" s="731">
        <v>2008</v>
      </c>
      <c r="BA2" s="731">
        <v>2009</v>
      </c>
      <c r="BB2" s="731">
        <v>2010</v>
      </c>
      <c r="BC2" s="731">
        <v>2011</v>
      </c>
      <c r="BD2" s="731">
        <v>2012</v>
      </c>
      <c r="BE2" s="731">
        <v>2008</v>
      </c>
      <c r="BF2" s="731">
        <v>2009</v>
      </c>
      <c r="BG2" s="731">
        <v>2010</v>
      </c>
      <c r="BH2" s="731">
        <v>2011</v>
      </c>
      <c r="BI2" s="731">
        <v>2012</v>
      </c>
      <c r="BJ2" s="731">
        <v>2008</v>
      </c>
      <c r="BK2" s="731">
        <v>2009</v>
      </c>
      <c r="BL2" s="731">
        <v>2010</v>
      </c>
      <c r="BM2" s="731">
        <v>2011</v>
      </c>
      <c r="BN2" s="731">
        <v>2012</v>
      </c>
      <c r="BO2" s="731">
        <v>2008</v>
      </c>
      <c r="BP2" s="731">
        <v>2009</v>
      </c>
      <c r="BQ2" s="731">
        <v>2010</v>
      </c>
      <c r="BR2" s="731">
        <v>2011</v>
      </c>
      <c r="BS2" s="731">
        <v>2012</v>
      </c>
      <c r="BT2" s="731">
        <v>2008</v>
      </c>
      <c r="BU2" s="731">
        <v>2009</v>
      </c>
      <c r="BV2" s="731">
        <v>2010</v>
      </c>
      <c r="BW2" s="731">
        <v>2011</v>
      </c>
      <c r="BX2" s="731">
        <v>2012</v>
      </c>
      <c r="BY2" s="731">
        <v>2008</v>
      </c>
      <c r="BZ2" s="731">
        <v>2009</v>
      </c>
      <c r="CA2" s="731">
        <v>2010</v>
      </c>
      <c r="CB2" s="731">
        <v>2011</v>
      </c>
      <c r="CC2" s="731">
        <v>2012</v>
      </c>
      <c r="CD2" s="731">
        <v>2008</v>
      </c>
      <c r="CE2" s="731">
        <v>2009</v>
      </c>
      <c r="CF2" s="731">
        <v>2010</v>
      </c>
      <c r="CG2" s="731">
        <v>2011</v>
      </c>
      <c r="CH2" s="731">
        <v>2012</v>
      </c>
      <c r="CI2" s="731">
        <v>2008</v>
      </c>
      <c r="CJ2" s="731">
        <v>2009</v>
      </c>
      <c r="CK2" s="731">
        <v>2010</v>
      </c>
      <c r="CL2" s="731">
        <v>2011</v>
      </c>
      <c r="CM2" s="731">
        <v>2012</v>
      </c>
      <c r="CN2" s="731">
        <v>2008</v>
      </c>
      <c r="CO2" s="731">
        <v>2009</v>
      </c>
      <c r="CP2" s="731">
        <v>2010</v>
      </c>
      <c r="CQ2" s="731">
        <v>2011</v>
      </c>
      <c r="CR2" s="731">
        <v>2012</v>
      </c>
      <c r="CS2" s="731">
        <v>2008</v>
      </c>
      <c r="CT2" s="731">
        <v>2009</v>
      </c>
      <c r="CU2" s="731">
        <v>2010</v>
      </c>
      <c r="CV2" s="731">
        <v>2011</v>
      </c>
      <c r="CW2" s="731">
        <v>2012</v>
      </c>
      <c r="CX2" s="731">
        <v>2008</v>
      </c>
      <c r="CY2" s="731">
        <v>2009</v>
      </c>
      <c r="CZ2" s="731">
        <v>2010</v>
      </c>
      <c r="DA2" s="731">
        <v>2011</v>
      </c>
      <c r="DB2" s="731">
        <v>2012</v>
      </c>
      <c r="DC2" s="731">
        <v>2008</v>
      </c>
      <c r="DD2" s="731">
        <v>2009</v>
      </c>
      <c r="DE2" s="731">
        <v>2010</v>
      </c>
      <c r="DF2" s="731">
        <v>2011</v>
      </c>
      <c r="DG2" s="731">
        <v>2012</v>
      </c>
      <c r="DH2" s="731">
        <v>2008</v>
      </c>
      <c r="DI2" s="731">
        <v>2009</v>
      </c>
      <c r="DJ2" s="731">
        <v>2010</v>
      </c>
      <c r="DK2" s="731">
        <v>2011</v>
      </c>
      <c r="DL2" s="731">
        <v>2012</v>
      </c>
      <c r="DM2" s="731">
        <v>2008</v>
      </c>
      <c r="DN2" s="731">
        <v>2009</v>
      </c>
      <c r="DO2" s="731">
        <v>2010</v>
      </c>
      <c r="DP2" s="731">
        <v>2011</v>
      </c>
      <c r="DQ2" s="731">
        <v>2012</v>
      </c>
      <c r="DR2" s="731">
        <v>2008</v>
      </c>
      <c r="DS2" s="731">
        <v>2009</v>
      </c>
      <c r="DT2" s="731">
        <v>2010</v>
      </c>
      <c r="DU2" s="731">
        <v>2011</v>
      </c>
      <c r="DV2" s="731">
        <v>2012</v>
      </c>
      <c r="DW2" s="731">
        <v>2008</v>
      </c>
      <c r="DX2" s="731">
        <v>2009</v>
      </c>
      <c r="DY2" s="731">
        <v>2010</v>
      </c>
      <c r="DZ2" s="731">
        <v>2011</v>
      </c>
      <c r="EA2" s="731">
        <v>2012</v>
      </c>
      <c r="EB2" s="731">
        <v>2008</v>
      </c>
      <c r="EC2" s="731">
        <v>2009</v>
      </c>
      <c r="ED2" s="731">
        <v>2010</v>
      </c>
      <c r="EE2" s="731">
        <v>2011</v>
      </c>
      <c r="EF2" s="731">
        <v>2012</v>
      </c>
      <c r="EG2" s="731">
        <v>2008</v>
      </c>
      <c r="EH2" s="731">
        <v>2009</v>
      </c>
      <c r="EI2" s="731">
        <v>2010</v>
      </c>
      <c r="EJ2" s="731">
        <v>2011</v>
      </c>
      <c r="EK2" s="731">
        <v>2012</v>
      </c>
      <c r="EL2" s="731">
        <v>2008</v>
      </c>
      <c r="EM2" s="731">
        <v>2009</v>
      </c>
      <c r="EN2" s="731">
        <v>2010</v>
      </c>
      <c r="EO2" s="731">
        <v>2011</v>
      </c>
      <c r="EP2" s="731">
        <v>2012</v>
      </c>
      <c r="EQ2" s="731">
        <v>2008</v>
      </c>
      <c r="ER2" s="731">
        <v>2009</v>
      </c>
      <c r="ES2" s="731">
        <v>2010</v>
      </c>
      <c r="ET2" s="731">
        <v>2011</v>
      </c>
      <c r="EU2" s="731">
        <v>2012</v>
      </c>
      <c r="EV2" s="732">
        <v>2012</v>
      </c>
      <c r="EW2" s="732">
        <v>2013</v>
      </c>
      <c r="EX2" s="732">
        <v>2012</v>
      </c>
      <c r="EY2" s="732">
        <v>2013</v>
      </c>
      <c r="EZ2" s="732">
        <v>2012</v>
      </c>
      <c r="FA2" s="732">
        <v>2013</v>
      </c>
      <c r="FB2" s="732">
        <v>2012</v>
      </c>
      <c r="FC2" s="732">
        <v>2013</v>
      </c>
      <c r="FD2" s="732">
        <v>2012</v>
      </c>
      <c r="FE2" s="732">
        <v>2013</v>
      </c>
      <c r="FF2" s="732">
        <v>2012</v>
      </c>
      <c r="FG2" s="732">
        <v>2013</v>
      </c>
      <c r="FH2" s="732">
        <v>2012</v>
      </c>
      <c r="FI2" s="732">
        <v>2013</v>
      </c>
      <c r="FJ2" s="732">
        <v>2012</v>
      </c>
      <c r="FK2" s="732">
        <v>2013</v>
      </c>
      <c r="FL2" s="732">
        <v>2012</v>
      </c>
      <c r="FM2" s="732">
        <v>2013</v>
      </c>
      <c r="FN2" s="732">
        <v>2012</v>
      </c>
      <c r="FO2" s="732">
        <v>2013</v>
      </c>
      <c r="FP2" s="732">
        <v>2012</v>
      </c>
      <c r="FQ2" s="732">
        <v>2013</v>
      </c>
      <c r="FR2" s="732">
        <v>2012</v>
      </c>
      <c r="FS2" s="732">
        <v>2013</v>
      </c>
      <c r="FT2" s="732">
        <v>2012</v>
      </c>
      <c r="FU2" s="732">
        <v>2013</v>
      </c>
      <c r="FV2" s="732">
        <v>2012</v>
      </c>
      <c r="FW2" s="732">
        <v>2013</v>
      </c>
      <c r="FX2" s="732">
        <v>2012</v>
      </c>
      <c r="FY2" s="732">
        <v>2013</v>
      </c>
      <c r="FZ2" s="732">
        <v>2012</v>
      </c>
      <c r="GA2" s="732">
        <v>2013</v>
      </c>
      <c r="GB2" s="732">
        <v>2012</v>
      </c>
      <c r="GC2" s="732">
        <v>2013</v>
      </c>
      <c r="GD2" s="732">
        <v>2012</v>
      </c>
      <c r="GE2" s="732">
        <v>2013</v>
      </c>
      <c r="GF2" s="732">
        <v>2012</v>
      </c>
      <c r="GG2" s="732">
        <v>2013</v>
      </c>
      <c r="GH2" s="732">
        <v>2012</v>
      </c>
      <c r="GI2" s="732">
        <v>2013</v>
      </c>
      <c r="GJ2" s="732">
        <v>2012</v>
      </c>
      <c r="GK2" s="732">
        <v>2013</v>
      </c>
      <c r="GL2" s="732">
        <v>2012</v>
      </c>
      <c r="GM2" s="732">
        <v>2013</v>
      </c>
      <c r="GN2" s="732">
        <v>2012</v>
      </c>
      <c r="GO2" s="732">
        <v>2013</v>
      </c>
      <c r="GP2" s="732">
        <v>2012</v>
      </c>
      <c r="GQ2" s="732">
        <v>2013</v>
      </c>
      <c r="GR2" s="732">
        <v>2012</v>
      </c>
      <c r="GS2" s="732">
        <v>2013</v>
      </c>
      <c r="GT2" s="732">
        <v>2012</v>
      </c>
      <c r="GU2" s="732">
        <v>2013</v>
      </c>
      <c r="GV2" s="732">
        <v>2012</v>
      </c>
      <c r="GW2" s="732">
        <v>2013</v>
      </c>
      <c r="GX2" s="732">
        <v>2012</v>
      </c>
      <c r="GY2" s="732">
        <v>2013</v>
      </c>
      <c r="GZ2" s="732">
        <v>2012</v>
      </c>
      <c r="HA2" s="732">
        <v>2013</v>
      </c>
      <c r="HB2" s="732">
        <v>2012</v>
      </c>
      <c r="HC2" s="732">
        <v>2013</v>
      </c>
      <c r="HD2" s="732">
        <v>2012</v>
      </c>
      <c r="HE2" s="732">
        <v>2013</v>
      </c>
      <c r="HF2" s="732">
        <v>2012</v>
      </c>
      <c r="HG2" s="732">
        <v>2013</v>
      </c>
      <c r="HH2" s="732">
        <v>2012</v>
      </c>
      <c r="HI2" s="732">
        <v>2013</v>
      </c>
      <c r="HJ2" s="732">
        <v>2012</v>
      </c>
      <c r="HK2" s="732">
        <v>2013</v>
      </c>
      <c r="HL2" s="732">
        <v>2012</v>
      </c>
      <c r="HM2" s="732">
        <v>2013</v>
      </c>
      <c r="HN2" s="732">
        <v>2012</v>
      </c>
      <c r="HO2" s="732">
        <v>2013</v>
      </c>
      <c r="HP2" s="732">
        <v>2012</v>
      </c>
      <c r="HQ2" s="732">
        <v>2013</v>
      </c>
      <c r="HR2" s="732">
        <v>2012</v>
      </c>
      <c r="HS2" s="732">
        <v>2013</v>
      </c>
      <c r="HT2" s="732">
        <v>2012</v>
      </c>
      <c r="HU2" s="732">
        <v>2013</v>
      </c>
      <c r="HV2" s="732">
        <v>2012</v>
      </c>
      <c r="HW2" s="732">
        <v>2013</v>
      </c>
      <c r="HX2" s="732">
        <v>2012</v>
      </c>
      <c r="HY2" s="732">
        <v>2013</v>
      </c>
      <c r="HZ2" s="732">
        <v>2012</v>
      </c>
      <c r="IA2" s="732">
        <v>2013</v>
      </c>
      <c r="IB2" s="732">
        <v>2012</v>
      </c>
      <c r="IC2" s="732">
        <v>2013</v>
      </c>
      <c r="ID2" s="732">
        <v>2012</v>
      </c>
      <c r="IE2" s="732">
        <v>2013</v>
      </c>
      <c r="IF2" s="732">
        <v>2012</v>
      </c>
      <c r="IG2" s="732">
        <v>2013</v>
      </c>
      <c r="IH2" s="732">
        <v>2012</v>
      </c>
      <c r="II2" s="732">
        <v>2013</v>
      </c>
      <c r="IJ2" s="732">
        <v>2012</v>
      </c>
      <c r="IK2" s="732">
        <v>2013</v>
      </c>
      <c r="IL2" s="732">
        <v>2012</v>
      </c>
      <c r="IM2" s="732">
        <v>2013</v>
      </c>
      <c r="IN2" s="732">
        <v>2012</v>
      </c>
      <c r="IO2" s="732">
        <v>2013</v>
      </c>
      <c r="IP2" s="732">
        <v>2012</v>
      </c>
      <c r="IQ2" s="732">
        <v>2013</v>
      </c>
      <c r="IR2" s="732">
        <v>2012</v>
      </c>
      <c r="IS2" s="732">
        <v>2013</v>
      </c>
      <c r="IT2" s="732">
        <v>2012</v>
      </c>
      <c r="IU2" s="732">
        <v>2013</v>
      </c>
      <c r="IV2" s="732">
        <v>2012</v>
      </c>
      <c r="IW2" s="732">
        <v>2013</v>
      </c>
      <c r="IX2" s="732">
        <v>2012</v>
      </c>
      <c r="IY2" s="732">
        <v>2013</v>
      </c>
      <c r="IZ2" s="732">
        <v>2012</v>
      </c>
      <c r="JA2" s="732">
        <v>2013</v>
      </c>
      <c r="JB2" s="733">
        <v>2013</v>
      </c>
      <c r="JC2" s="733">
        <v>2014</v>
      </c>
      <c r="JD2" s="733">
        <v>2013</v>
      </c>
      <c r="JE2" s="733">
        <v>2014</v>
      </c>
      <c r="JF2" s="733">
        <v>2013</v>
      </c>
      <c r="JG2" s="733">
        <v>2014</v>
      </c>
      <c r="JH2" s="733">
        <v>2013</v>
      </c>
      <c r="JI2" s="733">
        <v>2014</v>
      </c>
      <c r="JJ2" s="733">
        <v>2013</v>
      </c>
      <c r="JK2" s="733">
        <v>2014</v>
      </c>
      <c r="JL2" s="733">
        <v>2013</v>
      </c>
      <c r="JM2" s="733">
        <v>2014</v>
      </c>
      <c r="JN2" s="733">
        <v>2013</v>
      </c>
      <c r="JO2" s="733">
        <v>2014</v>
      </c>
      <c r="JP2" s="733">
        <v>2013</v>
      </c>
      <c r="JQ2" s="733">
        <v>2014</v>
      </c>
      <c r="JR2" s="733">
        <v>2013</v>
      </c>
      <c r="JS2" s="733">
        <v>2014</v>
      </c>
      <c r="JT2" s="733">
        <v>2013</v>
      </c>
      <c r="JU2" s="733">
        <v>2014</v>
      </c>
      <c r="JV2" s="733">
        <v>2013</v>
      </c>
      <c r="JW2" s="733">
        <v>2014</v>
      </c>
      <c r="JX2" s="733">
        <v>2013</v>
      </c>
      <c r="JY2" s="733">
        <v>2014</v>
      </c>
      <c r="JZ2" s="733">
        <v>2013</v>
      </c>
      <c r="KA2" s="733">
        <v>2014</v>
      </c>
      <c r="KB2" s="733">
        <v>2013</v>
      </c>
      <c r="KC2" s="733">
        <v>2014</v>
      </c>
      <c r="KD2" s="733">
        <v>2013</v>
      </c>
      <c r="KE2" s="733">
        <v>2014</v>
      </c>
      <c r="KF2" s="733">
        <v>2013</v>
      </c>
      <c r="KG2" s="733">
        <v>2014</v>
      </c>
      <c r="KH2" s="733">
        <v>2013</v>
      </c>
      <c r="KI2" s="733">
        <v>2014</v>
      </c>
      <c r="KJ2" s="733">
        <v>2013</v>
      </c>
      <c r="KK2" s="733">
        <v>2014</v>
      </c>
      <c r="KL2" s="733">
        <v>2013</v>
      </c>
      <c r="KM2" s="733">
        <v>2014</v>
      </c>
      <c r="KN2" s="733">
        <v>2013</v>
      </c>
      <c r="KO2" s="733">
        <v>2014</v>
      </c>
      <c r="KP2" s="733">
        <v>2013</v>
      </c>
      <c r="KQ2" s="733">
        <v>2014</v>
      </c>
      <c r="KR2" s="733">
        <v>2013</v>
      </c>
      <c r="KS2" s="733">
        <v>2014</v>
      </c>
      <c r="KT2" s="733">
        <v>2013</v>
      </c>
      <c r="KU2" s="733">
        <v>2014</v>
      </c>
      <c r="KV2" s="733">
        <v>2013</v>
      </c>
      <c r="KW2" s="733">
        <v>2014</v>
      </c>
      <c r="KX2" s="733">
        <v>2013</v>
      </c>
      <c r="KY2" s="733">
        <v>2014</v>
      </c>
      <c r="KZ2" s="733">
        <v>2013</v>
      </c>
      <c r="LA2" s="733">
        <v>2014</v>
      </c>
      <c r="LB2" s="733">
        <v>2013</v>
      </c>
      <c r="LC2" s="733">
        <v>2014</v>
      </c>
      <c r="LD2" s="733">
        <v>2013</v>
      </c>
      <c r="LE2" s="733">
        <v>2014</v>
      </c>
      <c r="LF2" s="733">
        <v>2013</v>
      </c>
      <c r="LG2" s="733">
        <v>2014</v>
      </c>
      <c r="LH2" s="733">
        <v>2013</v>
      </c>
      <c r="LI2" s="733">
        <v>2014</v>
      </c>
      <c r="LJ2" s="733">
        <v>2013</v>
      </c>
      <c r="LK2" s="733">
        <v>2014</v>
      </c>
      <c r="LL2" s="733">
        <v>2013</v>
      </c>
      <c r="LM2" s="733">
        <v>2014</v>
      </c>
      <c r="LN2" s="733">
        <v>2013</v>
      </c>
      <c r="LO2" s="733">
        <v>2014</v>
      </c>
      <c r="LP2" s="733">
        <v>2013</v>
      </c>
      <c r="LQ2" s="733">
        <v>2014</v>
      </c>
      <c r="LR2" s="733">
        <v>2013</v>
      </c>
      <c r="LS2" s="733">
        <v>2014</v>
      </c>
      <c r="LT2" s="733">
        <v>2013</v>
      </c>
      <c r="LU2" s="733">
        <v>2014</v>
      </c>
      <c r="LV2" s="733">
        <v>2013</v>
      </c>
      <c r="LW2" s="733">
        <v>2014</v>
      </c>
      <c r="LX2" s="733">
        <v>2013</v>
      </c>
      <c r="LY2" s="733">
        <v>2014</v>
      </c>
      <c r="LZ2" s="733">
        <v>2013</v>
      </c>
      <c r="MA2" s="733">
        <v>2014</v>
      </c>
      <c r="MB2" s="733">
        <v>2013</v>
      </c>
      <c r="MC2" s="733">
        <v>2014</v>
      </c>
      <c r="MD2" s="733">
        <v>2013</v>
      </c>
      <c r="ME2" s="733">
        <v>2014</v>
      </c>
      <c r="MF2" s="733">
        <v>2013</v>
      </c>
      <c r="MG2" s="733">
        <v>2014</v>
      </c>
      <c r="MH2" s="733">
        <v>2013</v>
      </c>
      <c r="MI2" s="733">
        <v>2014</v>
      </c>
      <c r="MJ2" s="733">
        <v>2013</v>
      </c>
      <c r="MK2" s="733">
        <v>2014</v>
      </c>
      <c r="ML2" s="733">
        <v>2013</v>
      </c>
      <c r="MM2" s="733">
        <v>2014</v>
      </c>
      <c r="MN2" s="733">
        <v>2013</v>
      </c>
      <c r="MO2" s="733">
        <v>2014</v>
      </c>
      <c r="MP2" s="733">
        <v>2013</v>
      </c>
      <c r="MQ2" s="733">
        <v>2014</v>
      </c>
      <c r="MR2" s="733">
        <v>2013</v>
      </c>
      <c r="MS2" s="733">
        <v>2014</v>
      </c>
      <c r="MT2" s="733">
        <v>2013</v>
      </c>
      <c r="MU2" s="733">
        <v>2014</v>
      </c>
      <c r="MV2" s="733">
        <v>2013</v>
      </c>
      <c r="MW2" s="733">
        <v>2014</v>
      </c>
      <c r="MX2" s="733">
        <v>2013</v>
      </c>
      <c r="MY2" s="733">
        <v>2014</v>
      </c>
      <c r="MZ2" s="733">
        <v>2013</v>
      </c>
      <c r="NA2" s="733">
        <v>2014</v>
      </c>
      <c r="NB2" s="733">
        <v>2013</v>
      </c>
      <c r="NC2" s="733">
        <v>2014</v>
      </c>
      <c r="ND2" s="733">
        <v>2013</v>
      </c>
      <c r="NE2" s="733">
        <v>2014</v>
      </c>
      <c r="NF2" s="733">
        <v>2013</v>
      </c>
      <c r="NG2" s="733">
        <v>2014</v>
      </c>
      <c r="NH2" s="734">
        <v>2014</v>
      </c>
      <c r="NI2" s="734">
        <v>2015</v>
      </c>
      <c r="NJ2" s="734">
        <v>2014</v>
      </c>
      <c r="NK2" s="734">
        <v>2015</v>
      </c>
      <c r="NL2" s="734">
        <v>2014</v>
      </c>
      <c r="NM2" s="734">
        <v>2015</v>
      </c>
      <c r="NN2" s="734">
        <v>2014</v>
      </c>
      <c r="NO2" s="734">
        <v>2015</v>
      </c>
      <c r="NP2" s="734">
        <v>2014</v>
      </c>
      <c r="NQ2" s="734">
        <v>2015</v>
      </c>
      <c r="NR2" s="734">
        <v>2014</v>
      </c>
      <c r="NS2" s="734">
        <v>2015</v>
      </c>
      <c r="NT2" s="734">
        <v>2014</v>
      </c>
      <c r="NU2" s="734">
        <v>2015</v>
      </c>
      <c r="NV2" s="734">
        <v>2014</v>
      </c>
      <c r="NW2" s="734">
        <v>2015</v>
      </c>
      <c r="NX2" s="734">
        <v>2014</v>
      </c>
      <c r="NY2" s="734">
        <v>2015</v>
      </c>
      <c r="NZ2" s="734">
        <v>2014</v>
      </c>
      <c r="OA2" s="734">
        <v>2015</v>
      </c>
      <c r="OB2" s="734">
        <v>2014</v>
      </c>
      <c r="OC2" s="734">
        <v>2015</v>
      </c>
      <c r="OD2" s="734">
        <v>2014</v>
      </c>
      <c r="OE2" s="734">
        <v>2015</v>
      </c>
      <c r="OF2" s="734">
        <v>2014</v>
      </c>
      <c r="OG2" s="734">
        <v>2015</v>
      </c>
      <c r="OH2" s="734">
        <v>2014</v>
      </c>
      <c r="OI2" s="734">
        <v>2015</v>
      </c>
      <c r="OJ2" s="734">
        <v>2014</v>
      </c>
      <c r="OK2" s="734">
        <v>2015</v>
      </c>
      <c r="OL2" s="734">
        <v>2014</v>
      </c>
      <c r="OM2" s="734">
        <v>2015</v>
      </c>
      <c r="ON2" s="734">
        <v>2014</v>
      </c>
      <c r="OO2" s="734">
        <v>2015</v>
      </c>
      <c r="OP2" s="734">
        <v>2014</v>
      </c>
      <c r="OQ2" s="734">
        <v>2015</v>
      </c>
      <c r="OR2" s="734">
        <v>2014</v>
      </c>
      <c r="OS2" s="734">
        <v>2015</v>
      </c>
      <c r="OT2" s="734">
        <v>2014</v>
      </c>
      <c r="OU2" s="734">
        <v>2015</v>
      </c>
      <c r="OV2" s="734">
        <v>2014</v>
      </c>
      <c r="OW2" s="734">
        <v>2015</v>
      </c>
      <c r="OX2" s="734">
        <v>2014</v>
      </c>
      <c r="OY2" s="734">
        <v>2015</v>
      </c>
      <c r="OZ2" s="734">
        <v>2014</v>
      </c>
      <c r="PA2" s="734">
        <v>2015</v>
      </c>
      <c r="PB2" s="734">
        <v>2014</v>
      </c>
      <c r="PC2" s="734">
        <v>2015</v>
      </c>
      <c r="PD2" s="734">
        <v>2014</v>
      </c>
      <c r="PE2" s="734">
        <v>2015</v>
      </c>
      <c r="PF2" s="734">
        <v>2014</v>
      </c>
      <c r="PG2" s="734">
        <v>2015</v>
      </c>
      <c r="PH2" s="734">
        <v>2014</v>
      </c>
      <c r="PI2" s="734">
        <v>2015</v>
      </c>
      <c r="PJ2" s="734">
        <v>2014</v>
      </c>
      <c r="PK2" s="734">
        <v>2015</v>
      </c>
      <c r="PL2" s="734">
        <v>2014</v>
      </c>
      <c r="PM2" s="734">
        <v>2015</v>
      </c>
      <c r="PN2" s="734">
        <v>2014</v>
      </c>
      <c r="PO2" s="734">
        <v>2015</v>
      </c>
      <c r="PP2" s="734">
        <v>2014</v>
      </c>
      <c r="PQ2" s="734">
        <v>2015</v>
      </c>
      <c r="PR2" s="734">
        <v>2014</v>
      </c>
      <c r="PS2" s="734">
        <v>2015</v>
      </c>
      <c r="PT2" s="734">
        <v>2014</v>
      </c>
      <c r="PU2" s="734">
        <v>2015</v>
      </c>
      <c r="PV2" s="734">
        <v>2014</v>
      </c>
      <c r="PW2" s="734">
        <v>2015</v>
      </c>
      <c r="PX2" s="734">
        <v>2014</v>
      </c>
      <c r="PY2" s="734">
        <v>2015</v>
      </c>
      <c r="PZ2" s="734">
        <v>2014</v>
      </c>
      <c r="QA2" s="734">
        <v>2015</v>
      </c>
      <c r="QB2" s="734">
        <v>2014</v>
      </c>
      <c r="QC2" s="734">
        <v>2015</v>
      </c>
      <c r="QD2" s="734">
        <v>2014</v>
      </c>
      <c r="QE2" s="734">
        <v>2015</v>
      </c>
      <c r="QF2" s="734">
        <v>2014</v>
      </c>
      <c r="QG2" s="734">
        <v>2015</v>
      </c>
      <c r="QH2" s="734">
        <v>2014</v>
      </c>
      <c r="QI2" s="734">
        <v>2015</v>
      </c>
      <c r="QJ2" s="734">
        <v>2014</v>
      </c>
      <c r="QK2" s="734">
        <v>2015</v>
      </c>
      <c r="QL2" s="734">
        <v>2014</v>
      </c>
      <c r="QM2" s="734">
        <v>2015</v>
      </c>
      <c r="QN2" s="734">
        <v>2014</v>
      </c>
      <c r="QO2" s="734">
        <v>2015</v>
      </c>
      <c r="QP2" s="734">
        <v>2014</v>
      </c>
      <c r="QQ2" s="734">
        <v>2015</v>
      </c>
      <c r="QR2" s="734">
        <v>2014</v>
      </c>
      <c r="QS2" s="734">
        <v>2015</v>
      </c>
      <c r="QT2" s="734">
        <v>2014</v>
      </c>
      <c r="QU2" s="734">
        <v>2015</v>
      </c>
      <c r="QV2" s="734">
        <v>2014</v>
      </c>
      <c r="QW2" s="734">
        <v>2015</v>
      </c>
      <c r="QX2" s="734">
        <v>2014</v>
      </c>
      <c r="QY2" s="734">
        <v>2015</v>
      </c>
      <c r="QZ2" s="734">
        <v>2014</v>
      </c>
      <c r="RA2" s="734">
        <v>2015</v>
      </c>
      <c r="RB2" s="734">
        <v>2014</v>
      </c>
      <c r="RC2" s="734">
        <v>2015</v>
      </c>
      <c r="RD2" s="734">
        <v>2014</v>
      </c>
      <c r="RE2" s="734">
        <v>2015</v>
      </c>
      <c r="RF2" s="734">
        <v>2014</v>
      </c>
      <c r="RG2" s="734">
        <v>2015</v>
      </c>
      <c r="RH2" s="734">
        <v>2014</v>
      </c>
      <c r="RI2" s="734">
        <v>2015</v>
      </c>
      <c r="RJ2" s="734">
        <v>2014</v>
      </c>
      <c r="RK2" s="734">
        <v>2015</v>
      </c>
      <c r="RL2" s="734">
        <v>2014</v>
      </c>
      <c r="RM2" s="734">
        <v>2015</v>
      </c>
      <c r="RN2" s="733">
        <v>2015</v>
      </c>
      <c r="RO2" s="733">
        <v>2016</v>
      </c>
      <c r="RP2" s="733">
        <v>2015</v>
      </c>
      <c r="RQ2" s="733">
        <v>2016</v>
      </c>
      <c r="RR2" s="733">
        <v>2015</v>
      </c>
      <c r="RS2" s="733">
        <v>2016</v>
      </c>
      <c r="RT2" s="733">
        <v>2015</v>
      </c>
      <c r="RU2" s="733">
        <v>2016</v>
      </c>
      <c r="RV2" s="733">
        <v>2015</v>
      </c>
      <c r="RW2" s="733">
        <v>2016</v>
      </c>
      <c r="RX2" s="733">
        <v>2015</v>
      </c>
      <c r="RY2" s="733">
        <v>2016</v>
      </c>
      <c r="RZ2" s="733">
        <v>2015</v>
      </c>
      <c r="SA2" s="733">
        <v>2016</v>
      </c>
      <c r="SB2" s="733">
        <v>2015</v>
      </c>
      <c r="SC2" s="733">
        <v>2016</v>
      </c>
      <c r="SD2" s="733">
        <v>2015</v>
      </c>
      <c r="SE2" s="733">
        <v>2016</v>
      </c>
      <c r="SF2" s="733">
        <v>2015</v>
      </c>
      <c r="SG2" s="733">
        <v>2016</v>
      </c>
      <c r="SH2" s="733">
        <v>2015</v>
      </c>
      <c r="SI2" s="733">
        <v>2016</v>
      </c>
      <c r="SJ2" s="733">
        <v>2015</v>
      </c>
      <c r="SK2" s="733">
        <v>2016</v>
      </c>
      <c r="SL2" s="733">
        <v>2015</v>
      </c>
      <c r="SM2" s="733">
        <v>2016</v>
      </c>
      <c r="SN2" s="733">
        <v>2015</v>
      </c>
      <c r="SO2" s="733">
        <v>2016</v>
      </c>
      <c r="SP2" s="733">
        <v>2015</v>
      </c>
      <c r="SQ2" s="733">
        <v>2016</v>
      </c>
      <c r="SR2" s="733">
        <v>2015</v>
      </c>
      <c r="SS2" s="733">
        <v>2016</v>
      </c>
      <c r="ST2" s="733">
        <v>2015</v>
      </c>
      <c r="SU2" s="733">
        <v>2016</v>
      </c>
      <c r="SV2" s="733">
        <v>2015</v>
      </c>
      <c r="SW2" s="733">
        <v>2016</v>
      </c>
      <c r="SX2" s="733">
        <v>2015</v>
      </c>
      <c r="SY2" s="733">
        <v>2016</v>
      </c>
      <c r="SZ2" s="733">
        <v>2015</v>
      </c>
      <c r="TA2" s="733">
        <v>2016</v>
      </c>
      <c r="TB2" s="733">
        <v>2015</v>
      </c>
      <c r="TC2" s="733">
        <v>2016</v>
      </c>
      <c r="TD2" s="733">
        <v>2015</v>
      </c>
      <c r="TE2" s="733">
        <v>2016</v>
      </c>
      <c r="TF2" s="733">
        <v>2015</v>
      </c>
      <c r="TG2" s="733">
        <v>2016</v>
      </c>
      <c r="TH2" s="733">
        <v>2015</v>
      </c>
      <c r="TI2" s="733">
        <v>2016</v>
      </c>
      <c r="TJ2" s="733">
        <v>2015</v>
      </c>
      <c r="TK2" s="733">
        <v>2016</v>
      </c>
      <c r="TL2" s="733">
        <v>2015</v>
      </c>
      <c r="TM2" s="733">
        <v>2016</v>
      </c>
      <c r="TN2" s="733">
        <v>2015</v>
      </c>
      <c r="TO2" s="733">
        <v>2016</v>
      </c>
      <c r="TP2" s="733">
        <v>2015</v>
      </c>
      <c r="TQ2" s="733">
        <v>2016</v>
      </c>
      <c r="TR2" s="733">
        <v>2015</v>
      </c>
      <c r="TS2" s="733">
        <v>2016</v>
      </c>
      <c r="TT2" s="733">
        <v>2015</v>
      </c>
      <c r="TU2" s="733">
        <v>2016</v>
      </c>
      <c r="TV2" s="733">
        <v>2015</v>
      </c>
      <c r="TW2" s="733">
        <v>2016</v>
      </c>
      <c r="TX2" s="733">
        <v>2015</v>
      </c>
      <c r="TY2" s="733">
        <v>2016</v>
      </c>
      <c r="TZ2" s="733">
        <v>2015</v>
      </c>
      <c r="UA2" s="733">
        <v>2016</v>
      </c>
      <c r="UB2" s="733">
        <v>2015</v>
      </c>
      <c r="UC2" s="733">
        <v>2016</v>
      </c>
      <c r="UD2" s="733">
        <v>2015</v>
      </c>
      <c r="UE2" s="733">
        <v>2016</v>
      </c>
      <c r="UF2" s="733">
        <v>2015</v>
      </c>
      <c r="UG2" s="733">
        <v>2016</v>
      </c>
      <c r="UH2" s="733">
        <v>2015</v>
      </c>
      <c r="UI2" s="733">
        <v>2016</v>
      </c>
      <c r="UJ2" s="733">
        <v>2015</v>
      </c>
      <c r="UK2" s="733">
        <v>2016</v>
      </c>
      <c r="UL2" s="733">
        <v>2015</v>
      </c>
      <c r="UM2" s="733">
        <v>2016</v>
      </c>
      <c r="UN2" s="733">
        <v>2015</v>
      </c>
      <c r="UO2" s="733">
        <v>2016</v>
      </c>
      <c r="UP2" s="733">
        <v>2015</v>
      </c>
      <c r="UQ2" s="733">
        <v>2016</v>
      </c>
      <c r="UR2" s="733">
        <v>2015</v>
      </c>
      <c r="US2" s="733">
        <v>2016</v>
      </c>
      <c r="UT2" s="733">
        <v>2015</v>
      </c>
      <c r="UU2" s="733">
        <v>2016</v>
      </c>
      <c r="UV2" s="733">
        <v>2015</v>
      </c>
      <c r="UW2" s="733">
        <v>2016</v>
      </c>
      <c r="UX2" s="733">
        <v>2015</v>
      </c>
      <c r="UY2" s="733">
        <v>2016</v>
      </c>
      <c r="UZ2" s="733">
        <v>2015</v>
      </c>
      <c r="VA2" s="733">
        <v>2016</v>
      </c>
      <c r="VB2" s="733">
        <v>2015</v>
      </c>
      <c r="VC2" s="733">
        <v>2016</v>
      </c>
      <c r="VD2" s="733">
        <v>2015</v>
      </c>
      <c r="VE2" s="733">
        <v>2016</v>
      </c>
      <c r="VF2" s="733">
        <v>2015</v>
      </c>
      <c r="VG2" s="733">
        <v>2016</v>
      </c>
      <c r="VH2" s="733">
        <v>2015</v>
      </c>
      <c r="VI2" s="733">
        <v>2016</v>
      </c>
      <c r="VJ2" s="733">
        <v>2015</v>
      </c>
      <c r="VK2" s="733">
        <v>2016</v>
      </c>
      <c r="VL2" s="733">
        <v>2015</v>
      </c>
      <c r="VM2" s="733">
        <v>2016</v>
      </c>
      <c r="VN2" s="733">
        <v>2015</v>
      </c>
      <c r="VO2" s="733">
        <v>2016</v>
      </c>
      <c r="VP2" s="733">
        <v>2015</v>
      </c>
      <c r="VQ2" s="733">
        <v>2016</v>
      </c>
      <c r="VR2" s="733">
        <v>2015</v>
      </c>
      <c r="VS2" s="733">
        <v>2016</v>
      </c>
      <c r="VT2" s="733">
        <v>2016</v>
      </c>
      <c r="VU2" s="733">
        <v>2017</v>
      </c>
      <c r="VV2" s="733">
        <v>2016</v>
      </c>
      <c r="VW2" s="733">
        <v>2017</v>
      </c>
      <c r="VX2" s="733">
        <v>2016</v>
      </c>
      <c r="VY2" s="733">
        <v>2017</v>
      </c>
      <c r="VZ2" s="733">
        <v>2016</v>
      </c>
      <c r="WA2" s="733">
        <v>2017</v>
      </c>
      <c r="WB2" s="733">
        <v>2016</v>
      </c>
      <c r="WC2" s="733">
        <v>2017</v>
      </c>
      <c r="WD2" s="733">
        <v>2016</v>
      </c>
      <c r="WE2" s="733">
        <v>2017</v>
      </c>
      <c r="WF2" s="733">
        <v>2016</v>
      </c>
      <c r="WG2" s="733">
        <v>2017</v>
      </c>
      <c r="WH2" s="733">
        <v>2016</v>
      </c>
      <c r="WI2" s="733">
        <v>2017</v>
      </c>
      <c r="WJ2" s="733">
        <v>2016</v>
      </c>
      <c r="WK2" s="733">
        <v>2017</v>
      </c>
      <c r="WL2" s="733">
        <v>2016</v>
      </c>
      <c r="WM2" s="733">
        <v>2017</v>
      </c>
      <c r="WN2" s="733">
        <v>2016</v>
      </c>
      <c r="WO2" s="733">
        <v>2017</v>
      </c>
      <c r="WP2" s="733">
        <v>2016</v>
      </c>
      <c r="WQ2" s="733">
        <v>2017</v>
      </c>
      <c r="WR2" s="733">
        <v>2016</v>
      </c>
      <c r="WS2" s="733">
        <v>2017</v>
      </c>
      <c r="WT2" s="733">
        <v>2016</v>
      </c>
      <c r="WU2" s="733">
        <v>2017</v>
      </c>
      <c r="WV2" s="733">
        <v>2016</v>
      </c>
      <c r="WW2" s="733">
        <v>2017</v>
      </c>
      <c r="WX2" s="733">
        <v>2016</v>
      </c>
      <c r="WY2" s="733">
        <v>2017</v>
      </c>
      <c r="WZ2" s="733">
        <v>2016</v>
      </c>
      <c r="XA2" s="733">
        <v>2017</v>
      </c>
      <c r="XB2" s="733">
        <v>2016</v>
      </c>
      <c r="XC2" s="733">
        <v>2017</v>
      </c>
      <c r="XD2" s="733">
        <v>2016</v>
      </c>
      <c r="XE2" s="733">
        <v>2017</v>
      </c>
      <c r="XF2" s="733">
        <v>2016</v>
      </c>
      <c r="XG2" s="733">
        <v>2017</v>
      </c>
      <c r="XH2" s="733">
        <v>2016</v>
      </c>
      <c r="XI2" s="733">
        <v>2017</v>
      </c>
      <c r="XJ2" s="733">
        <v>2016</v>
      </c>
      <c r="XK2" s="733">
        <v>2017</v>
      </c>
      <c r="XL2" s="733">
        <v>2016</v>
      </c>
      <c r="XM2" s="733">
        <v>2017</v>
      </c>
      <c r="XN2" s="733">
        <v>2016</v>
      </c>
      <c r="XO2" s="733">
        <v>2017</v>
      </c>
      <c r="XP2" s="733">
        <v>2016</v>
      </c>
      <c r="XQ2" s="733">
        <v>2017</v>
      </c>
      <c r="XR2" s="733">
        <v>2016</v>
      </c>
      <c r="XS2" s="733">
        <v>2017</v>
      </c>
      <c r="XT2" s="733">
        <v>2016</v>
      </c>
      <c r="XU2" s="733">
        <v>2017</v>
      </c>
      <c r="XV2" s="733">
        <v>2016</v>
      </c>
      <c r="XW2" s="733">
        <v>2017</v>
      </c>
      <c r="XX2" s="733">
        <v>2016</v>
      </c>
      <c r="XY2" s="733">
        <v>2017</v>
      </c>
      <c r="XZ2" s="733">
        <v>2016</v>
      </c>
      <c r="YA2" s="733">
        <v>2017</v>
      </c>
      <c r="YB2" s="733">
        <v>2016</v>
      </c>
      <c r="YC2" s="733">
        <v>2017</v>
      </c>
      <c r="YD2" s="733">
        <v>2016</v>
      </c>
      <c r="YE2" s="733">
        <v>2017</v>
      </c>
      <c r="YF2" s="733">
        <v>2016</v>
      </c>
      <c r="YG2" s="733">
        <v>2017</v>
      </c>
      <c r="YH2" s="733">
        <v>2016</v>
      </c>
      <c r="YI2" s="733">
        <v>2017</v>
      </c>
      <c r="YJ2" s="733">
        <v>2016</v>
      </c>
      <c r="YK2" s="733">
        <v>2017</v>
      </c>
      <c r="YL2" s="733">
        <v>2016</v>
      </c>
      <c r="YM2" s="733">
        <v>2017</v>
      </c>
      <c r="YN2" s="733">
        <v>2016</v>
      </c>
      <c r="YO2" s="733">
        <v>2017</v>
      </c>
      <c r="YP2" s="733">
        <v>2016</v>
      </c>
      <c r="YQ2" s="733">
        <v>2017</v>
      </c>
      <c r="YR2" s="733">
        <v>2016</v>
      </c>
      <c r="YS2" s="733">
        <v>2017</v>
      </c>
      <c r="YT2" s="733">
        <v>2016</v>
      </c>
      <c r="YU2" s="733">
        <v>2017</v>
      </c>
      <c r="YV2" s="733">
        <v>2016</v>
      </c>
      <c r="YW2" s="733">
        <v>2017</v>
      </c>
      <c r="YX2" s="733">
        <v>2016</v>
      </c>
      <c r="YY2" s="733">
        <v>2017</v>
      </c>
      <c r="YZ2" s="733">
        <v>2016</v>
      </c>
      <c r="ZA2" s="733">
        <v>2017</v>
      </c>
      <c r="ZB2" s="733">
        <v>2016</v>
      </c>
      <c r="ZC2" s="733">
        <v>2017</v>
      </c>
      <c r="ZD2" s="733">
        <v>2016</v>
      </c>
      <c r="ZE2" s="733">
        <v>2017</v>
      </c>
      <c r="ZF2" s="733">
        <v>2016</v>
      </c>
      <c r="ZG2" s="733">
        <v>2017</v>
      </c>
      <c r="ZH2" s="733">
        <v>2016</v>
      </c>
      <c r="ZI2" s="733">
        <v>2017</v>
      </c>
      <c r="ZJ2" s="733">
        <v>2016</v>
      </c>
      <c r="ZK2" s="733">
        <v>2017</v>
      </c>
      <c r="ZL2" s="733">
        <v>2016</v>
      </c>
      <c r="ZM2" s="733">
        <v>2017</v>
      </c>
      <c r="ZN2" s="733">
        <v>2016</v>
      </c>
      <c r="ZO2" s="733">
        <v>2017</v>
      </c>
      <c r="ZP2" s="733">
        <v>2016</v>
      </c>
      <c r="ZQ2" s="733">
        <v>2017</v>
      </c>
      <c r="ZR2" s="733">
        <v>2016</v>
      </c>
      <c r="ZS2" s="733">
        <v>2017</v>
      </c>
      <c r="ZT2" s="733">
        <v>2016</v>
      </c>
      <c r="ZU2" s="733">
        <v>2017</v>
      </c>
      <c r="ZV2" s="733">
        <v>2016</v>
      </c>
      <c r="ZW2" s="733">
        <v>2017</v>
      </c>
      <c r="ZX2" s="733">
        <v>2016</v>
      </c>
      <c r="ZY2" s="733">
        <v>2017</v>
      </c>
      <c r="ZZ2" s="632">
        <v>2019</v>
      </c>
      <c r="AAA2" s="632">
        <v>2020</v>
      </c>
      <c r="AAB2" s="632">
        <v>2019</v>
      </c>
      <c r="AAC2" s="632">
        <v>2020</v>
      </c>
      <c r="AAD2" s="632">
        <v>2019</v>
      </c>
      <c r="AAE2" s="632">
        <v>2020</v>
      </c>
      <c r="AAF2" s="632">
        <v>2019</v>
      </c>
      <c r="AAG2" s="632">
        <v>2020</v>
      </c>
      <c r="AAH2" s="632">
        <v>2019</v>
      </c>
      <c r="AAI2" s="632">
        <v>2020</v>
      </c>
      <c r="AAJ2" s="632">
        <v>2019</v>
      </c>
      <c r="AAK2" s="632">
        <v>2020</v>
      </c>
      <c r="AAL2" s="632">
        <v>2019</v>
      </c>
      <c r="AAM2" s="632">
        <v>2020</v>
      </c>
      <c r="AAN2" s="632">
        <v>2019</v>
      </c>
      <c r="AAO2" s="632">
        <v>2020</v>
      </c>
      <c r="AAP2" s="632">
        <v>2019</v>
      </c>
      <c r="AAQ2" s="632">
        <v>2020</v>
      </c>
      <c r="AAR2" s="632">
        <v>2019</v>
      </c>
      <c r="AAS2" s="632">
        <v>2020</v>
      </c>
      <c r="AAT2" s="632">
        <v>2019</v>
      </c>
      <c r="AAU2" s="632">
        <v>2020</v>
      </c>
      <c r="AAV2" s="735">
        <v>2019</v>
      </c>
      <c r="AAW2" s="735">
        <v>2020</v>
      </c>
      <c r="AAX2" s="632">
        <v>2019</v>
      </c>
      <c r="AAY2" s="632">
        <v>2020</v>
      </c>
      <c r="AAZ2" s="632">
        <v>2019</v>
      </c>
      <c r="ABA2" s="632">
        <v>2020</v>
      </c>
      <c r="ABB2" s="632">
        <v>2019</v>
      </c>
      <c r="ABC2" s="632">
        <v>2020</v>
      </c>
      <c r="ABD2" s="632">
        <v>2019</v>
      </c>
      <c r="ABE2" s="632">
        <v>2020</v>
      </c>
      <c r="ABF2" s="632">
        <v>2019</v>
      </c>
      <c r="ABG2" s="632">
        <v>2020</v>
      </c>
      <c r="ABH2" s="632">
        <v>2019</v>
      </c>
      <c r="ABI2" s="632">
        <v>2020</v>
      </c>
      <c r="ABJ2" s="632">
        <v>2019</v>
      </c>
      <c r="ABK2" s="632">
        <v>2020</v>
      </c>
      <c r="ABL2" s="632">
        <v>2019</v>
      </c>
      <c r="ABM2" s="632">
        <v>2020</v>
      </c>
      <c r="ABN2" s="632">
        <v>2019</v>
      </c>
      <c r="ABO2" s="632">
        <v>2020</v>
      </c>
      <c r="ABP2" s="632">
        <v>2019</v>
      </c>
      <c r="ABQ2" s="632">
        <v>2020</v>
      </c>
      <c r="ABR2" s="632">
        <v>2019</v>
      </c>
      <c r="ABS2" s="632">
        <v>2020</v>
      </c>
      <c r="ABT2" s="632">
        <v>2019</v>
      </c>
      <c r="ABU2" s="632">
        <v>2020</v>
      </c>
      <c r="ABV2" s="632">
        <v>2019</v>
      </c>
      <c r="ABW2" s="632">
        <v>2020</v>
      </c>
      <c r="ABX2" s="632">
        <v>2019</v>
      </c>
      <c r="ABY2" s="632">
        <v>2020</v>
      </c>
      <c r="ABZ2" s="632">
        <v>2019</v>
      </c>
      <c r="ACA2" s="632">
        <v>2020</v>
      </c>
      <c r="ACB2" s="632">
        <v>2019</v>
      </c>
      <c r="ACC2" s="632">
        <v>2020</v>
      </c>
      <c r="ACD2" s="632">
        <v>2019</v>
      </c>
      <c r="ACE2" s="632">
        <v>2020</v>
      </c>
      <c r="ACF2" s="632">
        <v>2019</v>
      </c>
      <c r="ACG2" s="632">
        <v>2020</v>
      </c>
      <c r="ACH2" s="632">
        <v>2019</v>
      </c>
      <c r="ACI2" s="632">
        <v>2020</v>
      </c>
      <c r="ACJ2" s="632">
        <v>2019</v>
      </c>
      <c r="ACK2" s="632">
        <v>2020</v>
      </c>
      <c r="ACL2" s="632">
        <v>2019</v>
      </c>
      <c r="ACM2" s="632">
        <v>2020</v>
      </c>
      <c r="ACN2" s="632">
        <v>2019</v>
      </c>
      <c r="ACO2" s="632">
        <v>2020</v>
      </c>
      <c r="ACP2" s="632">
        <v>2019</v>
      </c>
      <c r="ACQ2" s="632">
        <v>2020</v>
      </c>
      <c r="ACR2" s="632">
        <v>2019</v>
      </c>
      <c r="ACS2" s="632">
        <v>2020</v>
      </c>
      <c r="ACT2" s="632">
        <v>2019</v>
      </c>
      <c r="ACU2" s="632">
        <v>2020</v>
      </c>
      <c r="ACV2" s="632">
        <v>2019</v>
      </c>
      <c r="ACW2" s="632">
        <v>2020</v>
      </c>
      <c r="ACX2" s="632">
        <v>2019</v>
      </c>
      <c r="ACY2" s="632">
        <v>2020</v>
      </c>
      <c r="ACZ2" s="705">
        <v>2021</v>
      </c>
      <c r="ADA2" s="705">
        <v>2022</v>
      </c>
      <c r="ADB2" s="705">
        <v>2021</v>
      </c>
      <c r="ADC2" s="705">
        <v>2022</v>
      </c>
      <c r="ADD2" s="705">
        <v>2021</v>
      </c>
      <c r="ADE2" s="705">
        <v>2022</v>
      </c>
      <c r="ADF2" s="705">
        <v>2021</v>
      </c>
      <c r="ADG2" s="705">
        <v>2022</v>
      </c>
      <c r="ADH2" s="705">
        <v>2021</v>
      </c>
      <c r="ADI2" s="705">
        <v>2022</v>
      </c>
      <c r="ADJ2" s="705">
        <v>2021</v>
      </c>
      <c r="ADK2" s="705">
        <v>2022</v>
      </c>
      <c r="ADL2" s="705">
        <v>2021</v>
      </c>
      <c r="ADM2" s="705">
        <v>2022</v>
      </c>
      <c r="ADN2" s="705">
        <v>2021</v>
      </c>
      <c r="ADO2" s="705">
        <v>2022</v>
      </c>
      <c r="ADP2" s="705">
        <v>2021</v>
      </c>
      <c r="ADQ2" s="705">
        <v>2022</v>
      </c>
      <c r="ADR2" s="705">
        <v>2021</v>
      </c>
      <c r="ADS2" s="705">
        <v>2022</v>
      </c>
      <c r="ADT2" s="705">
        <v>2021</v>
      </c>
      <c r="ADU2" s="705">
        <v>2022</v>
      </c>
      <c r="ADV2" s="705">
        <v>2021</v>
      </c>
      <c r="ADW2" s="705">
        <v>2022</v>
      </c>
      <c r="ADX2" s="705">
        <v>2021</v>
      </c>
      <c r="ADY2" s="705">
        <v>2022</v>
      </c>
      <c r="ADZ2" s="705">
        <v>2021</v>
      </c>
      <c r="AEA2" s="705">
        <v>2022</v>
      </c>
      <c r="AEB2" s="705">
        <v>2021</v>
      </c>
      <c r="AEC2" s="705">
        <v>2022</v>
      </c>
      <c r="AED2" s="705">
        <v>2021</v>
      </c>
      <c r="AEE2" s="705">
        <v>2022</v>
      </c>
      <c r="AEF2" s="705">
        <v>2021</v>
      </c>
      <c r="AEG2" s="705">
        <v>2022</v>
      </c>
      <c r="AEH2" s="705">
        <v>2021</v>
      </c>
      <c r="AEI2" s="705">
        <v>2022</v>
      </c>
      <c r="AEJ2" s="705">
        <v>2021</v>
      </c>
      <c r="AEK2" s="705">
        <v>2022</v>
      </c>
      <c r="AEL2" s="705">
        <v>2021</v>
      </c>
      <c r="AEM2" s="705">
        <v>2022</v>
      </c>
      <c r="AEN2" s="705">
        <v>2021</v>
      </c>
      <c r="AEO2" s="705">
        <v>2022</v>
      </c>
      <c r="AEP2" s="705">
        <v>2021</v>
      </c>
      <c r="AEQ2" s="705">
        <v>2022</v>
      </c>
      <c r="AER2" s="705">
        <v>2021</v>
      </c>
      <c r="AES2" s="705">
        <v>2022</v>
      </c>
      <c r="AET2" s="705">
        <v>2021</v>
      </c>
      <c r="AEU2" s="705">
        <v>2022</v>
      </c>
      <c r="AEV2" s="705">
        <v>2021</v>
      </c>
      <c r="AEW2" s="705">
        <v>2022</v>
      </c>
      <c r="AEX2" s="705">
        <v>2021</v>
      </c>
      <c r="AEY2" s="705">
        <v>2022</v>
      </c>
      <c r="AEZ2" s="705">
        <v>2021</v>
      </c>
      <c r="AFA2" s="705">
        <v>2022</v>
      </c>
      <c r="AFB2" s="705">
        <v>2021</v>
      </c>
      <c r="AFC2" s="705">
        <v>2022</v>
      </c>
      <c r="AFD2" s="705">
        <v>2021</v>
      </c>
      <c r="AFE2" s="705">
        <v>2022</v>
      </c>
      <c r="AFF2" s="705">
        <v>2021</v>
      </c>
      <c r="AFG2" s="705">
        <v>2022</v>
      </c>
      <c r="AFH2" s="705">
        <v>2021</v>
      </c>
      <c r="AFI2" s="705">
        <v>2022</v>
      </c>
      <c r="AFJ2" s="705">
        <v>2021</v>
      </c>
      <c r="AFK2" s="705">
        <v>2022</v>
      </c>
      <c r="AFL2" s="705">
        <v>2021</v>
      </c>
      <c r="AFM2" s="705">
        <v>2022</v>
      </c>
      <c r="AFN2" s="705">
        <v>2021</v>
      </c>
      <c r="AFO2" s="705">
        <v>2022</v>
      </c>
      <c r="AFP2" s="705">
        <v>2021</v>
      </c>
      <c r="AFQ2" s="705">
        <v>2022</v>
      </c>
      <c r="AFR2" s="705">
        <v>2021</v>
      </c>
      <c r="AFS2" s="705">
        <v>2022</v>
      </c>
      <c r="AFT2" s="705">
        <v>2021</v>
      </c>
      <c r="AFU2" s="705">
        <v>2022</v>
      </c>
      <c r="AFV2" s="705">
        <v>2021</v>
      </c>
      <c r="AFW2" s="705">
        <v>2022</v>
      </c>
      <c r="AFX2" s="705">
        <v>2021</v>
      </c>
      <c r="AFY2" s="705">
        <v>2022</v>
      </c>
      <c r="AFZ2" s="736">
        <v>2022</v>
      </c>
      <c r="AGA2" s="736">
        <v>2023</v>
      </c>
      <c r="AGB2" s="736">
        <v>2022</v>
      </c>
      <c r="AGC2" s="736">
        <v>2023</v>
      </c>
      <c r="AGD2" s="736">
        <v>2022</v>
      </c>
      <c r="AGE2" s="736">
        <v>2023</v>
      </c>
      <c r="AGF2" s="736">
        <v>2022</v>
      </c>
      <c r="AGG2" s="736">
        <v>2023</v>
      </c>
      <c r="AGH2" s="736">
        <v>2022</v>
      </c>
      <c r="AGI2" s="736">
        <v>2023</v>
      </c>
      <c r="AGJ2" s="736">
        <v>2022</v>
      </c>
      <c r="AGK2" s="736">
        <v>2023</v>
      </c>
      <c r="AGL2" s="736">
        <v>2022</v>
      </c>
      <c r="AGM2" s="736">
        <v>2023</v>
      </c>
      <c r="AGN2" s="736">
        <v>2022</v>
      </c>
      <c r="AGO2" s="736">
        <v>2023</v>
      </c>
      <c r="AGP2" s="736">
        <v>2022</v>
      </c>
      <c r="AGQ2" s="736">
        <v>2023</v>
      </c>
      <c r="AGR2" s="736">
        <v>2022</v>
      </c>
      <c r="AGS2" s="736">
        <v>2023</v>
      </c>
      <c r="AGT2" s="736">
        <v>2022</v>
      </c>
      <c r="AGU2" s="736">
        <v>2023</v>
      </c>
      <c r="AGV2" s="736">
        <v>2022</v>
      </c>
      <c r="AGW2" s="736">
        <v>2023</v>
      </c>
      <c r="AGX2" s="736">
        <v>2022</v>
      </c>
      <c r="AGY2" s="736">
        <v>2023</v>
      </c>
      <c r="AGZ2" s="736">
        <v>2022</v>
      </c>
      <c r="AHA2" s="736">
        <v>2023</v>
      </c>
      <c r="AHB2" s="736">
        <v>2022</v>
      </c>
      <c r="AHC2" s="736">
        <v>2023</v>
      </c>
      <c r="AHD2" s="736">
        <v>2022</v>
      </c>
      <c r="AHE2" s="736">
        <v>2023</v>
      </c>
      <c r="AHF2" s="736">
        <v>2022</v>
      </c>
      <c r="AHG2" s="736">
        <v>2023</v>
      </c>
      <c r="AHH2" s="736">
        <v>2022</v>
      </c>
      <c r="AHI2" s="736">
        <v>2023</v>
      </c>
      <c r="AHJ2" s="736">
        <v>2022</v>
      </c>
      <c r="AHK2" s="736">
        <v>2023</v>
      </c>
      <c r="AHL2" s="736">
        <v>2022</v>
      </c>
      <c r="AHM2" s="736">
        <v>2023</v>
      </c>
      <c r="AHN2" s="736">
        <v>2022</v>
      </c>
      <c r="AHO2" s="736">
        <v>2023</v>
      </c>
      <c r="AHP2" s="736">
        <v>2022</v>
      </c>
      <c r="AHQ2" s="736">
        <v>2023</v>
      </c>
      <c r="AHR2" s="736">
        <v>2022</v>
      </c>
      <c r="AHS2" s="736">
        <v>2023</v>
      </c>
      <c r="AHT2" s="736">
        <v>2022</v>
      </c>
      <c r="AHU2" s="736">
        <v>2023</v>
      </c>
      <c r="AHV2" s="736">
        <v>2022</v>
      </c>
      <c r="AHW2" s="736">
        <v>2023</v>
      </c>
      <c r="AHX2" s="736">
        <v>2022</v>
      </c>
      <c r="AHY2" s="736">
        <v>2023</v>
      </c>
      <c r="AHZ2" s="736">
        <v>2022</v>
      </c>
      <c r="AIA2" s="736">
        <v>2023</v>
      </c>
      <c r="AIB2" s="736">
        <v>2022</v>
      </c>
      <c r="AIC2" s="736">
        <v>2023</v>
      </c>
      <c r="AID2" s="736">
        <v>2022</v>
      </c>
      <c r="AIE2" s="736">
        <v>2023</v>
      </c>
      <c r="AIF2" s="736">
        <v>2022</v>
      </c>
      <c r="AIG2" s="736">
        <v>2023</v>
      </c>
      <c r="AIH2" s="736">
        <v>2022</v>
      </c>
      <c r="AII2" s="736">
        <v>2023</v>
      </c>
      <c r="AIJ2" s="736">
        <v>2022</v>
      </c>
      <c r="AIK2" s="736">
        <v>2023</v>
      </c>
      <c r="AIL2" s="736">
        <v>2022</v>
      </c>
      <c r="AIM2" s="736">
        <v>2023</v>
      </c>
      <c r="AIN2" s="736">
        <v>2022</v>
      </c>
      <c r="AIO2" s="736">
        <v>2023</v>
      </c>
      <c r="AIP2" s="736">
        <v>2022</v>
      </c>
      <c r="AIQ2" s="736">
        <v>2023</v>
      </c>
      <c r="AIR2" s="736">
        <v>2022</v>
      </c>
      <c r="AIS2" s="736">
        <v>2023</v>
      </c>
      <c r="AIT2" s="736">
        <v>2022</v>
      </c>
      <c r="AIU2" s="736">
        <v>2023</v>
      </c>
      <c r="AIV2" s="736">
        <v>2022</v>
      </c>
      <c r="AIW2" s="736">
        <v>2023</v>
      </c>
      <c r="AIX2" s="736">
        <v>2022</v>
      </c>
      <c r="AIY2" s="736">
        <v>2023</v>
      </c>
      <c r="AIZ2" s="736">
        <v>2022</v>
      </c>
      <c r="AJA2" s="736">
        <v>2023</v>
      </c>
      <c r="AJB2" s="736">
        <v>2022</v>
      </c>
      <c r="AJC2" s="736">
        <v>2023</v>
      </c>
      <c r="AJD2" s="736">
        <v>2022</v>
      </c>
      <c r="AJE2" s="736">
        <v>2023</v>
      </c>
      <c r="AJF2" s="736">
        <v>2022</v>
      </c>
      <c r="AJG2" s="736">
        <v>2023</v>
      </c>
      <c r="AJH2" s="736">
        <v>2022</v>
      </c>
      <c r="AJI2" s="736">
        <v>2023</v>
      </c>
      <c r="AJJ2" s="736">
        <v>2022</v>
      </c>
      <c r="AJK2" s="736">
        <v>2023</v>
      </c>
      <c r="AJL2" s="736">
        <v>2022</v>
      </c>
      <c r="AJM2" s="736">
        <v>2023</v>
      </c>
      <c r="AJN2" s="736">
        <v>2022</v>
      </c>
      <c r="AJO2" s="736">
        <v>2023</v>
      </c>
    </row>
    <row r="3" spans="1:951" x14ac:dyDescent="0.25">
      <c r="A3" s="90" t="s">
        <v>5</v>
      </c>
      <c r="B3" s="93"/>
      <c r="C3" s="93"/>
      <c r="D3" s="94"/>
      <c r="E3" s="94"/>
      <c r="F3" s="94"/>
      <c r="G3" s="93"/>
      <c r="H3" s="93"/>
      <c r="I3" s="93"/>
      <c r="J3" s="93"/>
      <c r="K3" s="93"/>
      <c r="L3" s="93"/>
      <c r="M3" s="95"/>
      <c r="N3" s="93"/>
      <c r="O3" s="93"/>
      <c r="P3" s="93"/>
      <c r="Q3" s="93"/>
      <c r="R3" s="95"/>
      <c r="S3" s="93"/>
      <c r="T3" s="93"/>
      <c r="U3" s="93"/>
      <c r="V3" s="93"/>
      <c r="W3" s="95"/>
      <c r="X3" s="93"/>
      <c r="Y3" s="93"/>
      <c r="Z3" s="93"/>
      <c r="AA3" s="95"/>
      <c r="AB3" s="95"/>
      <c r="AC3" s="93"/>
      <c r="AD3" s="93"/>
      <c r="AE3" s="93"/>
      <c r="AF3" s="93"/>
      <c r="AG3" s="95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5"/>
      <c r="AV3" s="95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5"/>
      <c r="BU3" s="95"/>
      <c r="BV3" s="93"/>
      <c r="BW3" s="93"/>
      <c r="BX3" s="93"/>
      <c r="BY3" s="93"/>
      <c r="BZ3" s="93"/>
      <c r="CA3" s="93"/>
      <c r="CB3" s="93"/>
      <c r="CC3" s="93"/>
      <c r="CD3" s="93"/>
      <c r="CE3" s="95"/>
      <c r="CF3" s="93"/>
      <c r="CG3" s="93"/>
      <c r="CH3" s="93"/>
      <c r="CI3" s="93"/>
      <c r="CJ3" s="95"/>
      <c r="CK3" s="93"/>
      <c r="CL3" s="93"/>
      <c r="CM3" s="93"/>
      <c r="CN3" s="93"/>
      <c r="CO3" s="95"/>
      <c r="CP3" s="93"/>
      <c r="CQ3" s="93"/>
      <c r="CR3" s="93"/>
      <c r="CS3" s="101"/>
      <c r="CT3" s="101"/>
      <c r="CU3" s="93"/>
      <c r="CV3" s="93"/>
      <c r="CW3" s="93"/>
      <c r="CX3" s="93"/>
      <c r="CY3" s="101"/>
      <c r="CZ3" s="93"/>
      <c r="DA3" s="93"/>
      <c r="DB3" s="93"/>
      <c r="DC3" s="93"/>
      <c r="DD3" s="101"/>
      <c r="DE3" s="93"/>
      <c r="DF3" s="93"/>
      <c r="DG3" s="93"/>
      <c r="DH3" s="93"/>
      <c r="DI3" s="101"/>
      <c r="DJ3" s="93"/>
      <c r="DK3" s="93"/>
      <c r="DL3" s="93"/>
      <c r="DM3" s="93"/>
      <c r="DN3" s="101"/>
      <c r="DO3" s="93"/>
      <c r="DP3" s="93"/>
      <c r="DQ3" s="93"/>
      <c r="DR3" s="93"/>
      <c r="DS3" s="101"/>
      <c r="DT3" s="93"/>
      <c r="DU3" s="93"/>
      <c r="DV3" s="93"/>
      <c r="DW3" s="93"/>
      <c r="DX3" s="101"/>
      <c r="DY3" s="93"/>
      <c r="DZ3" s="93"/>
      <c r="EA3" s="93"/>
      <c r="EB3" s="93"/>
      <c r="EC3" s="101"/>
      <c r="ED3" s="93"/>
      <c r="EE3" s="93"/>
      <c r="EF3" s="93"/>
      <c r="EG3" s="93"/>
      <c r="EH3" s="101"/>
      <c r="EI3" s="93"/>
      <c r="EJ3" s="93"/>
      <c r="EK3" s="93"/>
      <c r="EL3" s="93"/>
      <c r="EM3" s="101"/>
      <c r="EN3" s="93"/>
      <c r="EO3" s="93"/>
      <c r="EP3" s="93"/>
      <c r="EQ3" s="93"/>
      <c r="ER3" s="101"/>
      <c r="ES3" s="93"/>
      <c r="ET3" s="93"/>
      <c r="EU3" s="93"/>
      <c r="EV3" s="93"/>
      <c r="EW3" s="93"/>
      <c r="EX3" s="93"/>
      <c r="EY3" s="235"/>
      <c r="EZ3" s="93"/>
      <c r="FA3" s="235"/>
      <c r="FB3" s="93"/>
      <c r="FC3" s="235"/>
      <c r="FD3" s="93"/>
      <c r="FE3" s="235"/>
      <c r="FF3" s="93"/>
      <c r="FG3" s="93"/>
      <c r="FH3" s="93"/>
      <c r="FI3" s="93"/>
      <c r="FJ3" s="93"/>
      <c r="FK3" s="235"/>
      <c r="FL3" s="235"/>
      <c r="FM3" s="235"/>
      <c r="FN3" s="93"/>
      <c r="FO3" s="93"/>
      <c r="FP3" s="93"/>
      <c r="FQ3" s="93"/>
      <c r="FR3" s="93"/>
      <c r="FS3" s="235"/>
      <c r="FT3" s="93"/>
      <c r="FU3" s="93"/>
      <c r="FV3" s="93"/>
      <c r="FW3" s="93"/>
      <c r="FX3" s="93"/>
      <c r="FY3" s="235"/>
      <c r="FZ3" s="93"/>
      <c r="GA3" s="235"/>
      <c r="GB3" s="93"/>
      <c r="GC3" s="93"/>
      <c r="GD3" s="93"/>
      <c r="GE3" s="235"/>
      <c r="GF3" s="235"/>
      <c r="GG3" s="235"/>
      <c r="GH3" s="93"/>
      <c r="GI3" s="235"/>
      <c r="GJ3" s="93"/>
      <c r="GK3" s="235"/>
      <c r="GL3" s="93"/>
      <c r="GM3" s="235"/>
      <c r="GN3" s="93"/>
      <c r="GO3" s="235"/>
      <c r="GP3" s="235"/>
      <c r="GQ3" s="235"/>
      <c r="GR3" s="235"/>
      <c r="GS3" s="235"/>
      <c r="GT3" s="93"/>
      <c r="GU3" s="235"/>
      <c r="GV3" s="235"/>
      <c r="GW3" s="235"/>
      <c r="GX3" s="93"/>
      <c r="GY3" s="235"/>
      <c r="GZ3" s="93"/>
      <c r="HA3" s="235"/>
      <c r="HB3" s="93"/>
      <c r="HC3" s="235"/>
      <c r="HD3" s="93"/>
      <c r="HE3" s="235"/>
      <c r="HF3" s="93"/>
      <c r="HG3" s="235"/>
      <c r="HH3" s="93"/>
      <c r="HI3" s="235"/>
      <c r="HJ3" s="93"/>
      <c r="HK3" s="235"/>
      <c r="HL3" s="235"/>
      <c r="HM3" s="235"/>
      <c r="HN3" s="93"/>
      <c r="HO3" s="235"/>
      <c r="HP3" s="93"/>
      <c r="HQ3" s="93"/>
      <c r="HR3" s="93"/>
      <c r="HS3" s="235"/>
      <c r="HT3" s="93"/>
      <c r="HU3" s="235"/>
      <c r="HV3" s="93"/>
      <c r="HW3" s="235"/>
      <c r="HX3" s="93"/>
      <c r="HY3" s="235"/>
      <c r="HZ3" s="93"/>
      <c r="IA3" s="235"/>
      <c r="IB3" s="93"/>
      <c r="IC3" s="235"/>
      <c r="ID3" s="93"/>
      <c r="IE3" s="235"/>
      <c r="IF3" s="93"/>
      <c r="IG3" s="235"/>
      <c r="IH3" s="93"/>
      <c r="II3" s="235"/>
      <c r="IJ3" s="93"/>
      <c r="IK3" s="235"/>
      <c r="IL3" s="93"/>
      <c r="IM3" s="235"/>
      <c r="IN3" s="235"/>
      <c r="IO3" s="235"/>
      <c r="IP3" s="93"/>
      <c r="IQ3" s="235"/>
      <c r="IR3" s="93"/>
      <c r="IS3" s="235"/>
      <c r="IT3" s="93"/>
      <c r="IU3" s="235"/>
      <c r="IV3" s="93"/>
      <c r="IW3" s="235"/>
      <c r="IX3" s="93"/>
      <c r="IY3" s="235"/>
      <c r="IZ3" s="93"/>
      <c r="JA3" s="235"/>
      <c r="JB3" s="93"/>
      <c r="JC3" s="93"/>
      <c r="JD3" s="93"/>
      <c r="JE3" s="299"/>
      <c r="JF3" s="93"/>
      <c r="JG3" s="299"/>
      <c r="JH3" s="93"/>
      <c r="JI3" s="299"/>
      <c r="JJ3" s="93"/>
      <c r="JK3" s="299"/>
      <c r="JL3" s="93"/>
      <c r="JM3" s="93"/>
      <c r="JN3" s="93"/>
      <c r="JO3" s="93"/>
      <c r="JP3" s="93"/>
      <c r="JQ3" s="299"/>
      <c r="JR3" s="299"/>
      <c r="JS3" s="299"/>
      <c r="JT3" s="93"/>
      <c r="JU3" s="93"/>
      <c r="JV3" s="93"/>
      <c r="JW3" s="93"/>
      <c r="JX3" s="93"/>
      <c r="JY3" s="299"/>
      <c r="JZ3" s="93"/>
      <c r="KA3" s="93"/>
      <c r="KB3" s="93"/>
      <c r="KC3" s="93"/>
      <c r="KD3" s="93"/>
      <c r="KE3" s="299"/>
      <c r="KF3" s="93"/>
      <c r="KG3" s="299"/>
      <c r="KH3" s="93"/>
      <c r="KI3" s="93"/>
      <c r="KJ3" s="93"/>
      <c r="KK3" s="299"/>
      <c r="KL3" s="299"/>
      <c r="KM3" s="299"/>
      <c r="KN3" s="93"/>
      <c r="KO3" s="299"/>
      <c r="KP3" s="93"/>
      <c r="KQ3" s="299"/>
      <c r="KR3" s="93"/>
      <c r="KS3" s="299"/>
      <c r="KT3" s="93"/>
      <c r="KU3" s="299"/>
      <c r="KV3" s="299"/>
      <c r="KW3" s="299"/>
      <c r="KX3" s="299"/>
      <c r="KY3" s="299"/>
      <c r="KZ3" s="93"/>
      <c r="LA3" s="299"/>
      <c r="LB3" s="299"/>
      <c r="LC3" s="299"/>
      <c r="LD3" s="93"/>
      <c r="LE3" s="299"/>
      <c r="LF3" s="93"/>
      <c r="LG3" s="299"/>
      <c r="LH3" s="93"/>
      <c r="LI3" s="299"/>
      <c r="LJ3" s="93"/>
      <c r="LK3" s="299"/>
      <c r="LL3" s="93"/>
      <c r="LM3" s="299"/>
      <c r="LN3" s="93"/>
      <c r="LO3" s="299"/>
      <c r="LP3" s="93"/>
      <c r="LQ3" s="299"/>
      <c r="LR3" s="299"/>
      <c r="LS3" s="299"/>
      <c r="LT3" s="93"/>
      <c r="LU3" s="299"/>
      <c r="LV3" s="93"/>
      <c r="LW3" s="93"/>
      <c r="LX3" s="93"/>
      <c r="LY3" s="299"/>
      <c r="LZ3" s="93"/>
      <c r="MA3" s="299"/>
      <c r="MB3" s="93"/>
      <c r="MC3" s="299"/>
      <c r="MD3" s="93"/>
      <c r="ME3" s="299"/>
      <c r="MF3" s="93"/>
      <c r="MG3" s="299"/>
      <c r="MH3" s="93"/>
      <c r="MI3" s="299"/>
      <c r="MJ3" s="93"/>
      <c r="MK3" s="299"/>
      <c r="ML3" s="93"/>
      <c r="MM3" s="299"/>
      <c r="MN3" s="93"/>
      <c r="MO3" s="299"/>
      <c r="MP3" s="93"/>
      <c r="MQ3" s="299"/>
      <c r="MR3" s="93"/>
      <c r="MS3" s="299"/>
      <c r="MT3" s="299"/>
      <c r="MU3" s="299"/>
      <c r="MV3" s="93"/>
      <c r="MW3" s="299"/>
      <c r="MX3" s="93"/>
      <c r="MY3" s="299"/>
      <c r="MZ3" s="93"/>
      <c r="NA3" s="299"/>
      <c r="NB3" s="93"/>
      <c r="NC3" s="299"/>
      <c r="ND3" s="93"/>
      <c r="NE3" s="299"/>
      <c r="NF3" s="93"/>
      <c r="NG3" s="299"/>
      <c r="NH3" s="388"/>
      <c r="NI3" s="388"/>
      <c r="NJ3" s="388"/>
      <c r="NK3" s="389"/>
      <c r="NL3" s="388"/>
      <c r="NM3" s="389"/>
      <c r="NN3" s="388"/>
      <c r="NO3" s="389"/>
      <c r="NP3" s="388"/>
      <c r="NQ3" s="389"/>
      <c r="NR3" s="388"/>
      <c r="NS3" s="388"/>
      <c r="NT3" s="388"/>
      <c r="NU3" s="388"/>
      <c r="NV3" s="388"/>
      <c r="NW3" s="389"/>
      <c r="NX3" s="389"/>
      <c r="NY3" s="389"/>
      <c r="NZ3" s="388"/>
      <c r="OA3" s="388"/>
      <c r="OB3" s="388"/>
      <c r="OC3" s="388"/>
      <c r="OD3" s="388"/>
      <c r="OE3" s="389"/>
      <c r="OF3" s="388"/>
      <c r="OG3" s="388"/>
      <c r="OH3" s="388"/>
      <c r="OI3" s="388"/>
      <c r="OJ3" s="388"/>
      <c r="OK3" s="389"/>
      <c r="OL3" s="388"/>
      <c r="OM3" s="389"/>
      <c r="ON3" s="388"/>
      <c r="OO3" s="388"/>
      <c r="OP3" s="388"/>
      <c r="OQ3" s="389"/>
      <c r="OR3" s="389"/>
      <c r="OS3" s="389"/>
      <c r="OT3" s="388"/>
      <c r="OU3" s="389"/>
      <c r="OV3" s="388"/>
      <c r="OW3" s="389"/>
      <c r="OX3" s="388"/>
      <c r="OY3" s="389"/>
      <c r="OZ3" s="388"/>
      <c r="PA3" s="389"/>
      <c r="PB3" s="389"/>
      <c r="PC3" s="389"/>
      <c r="PD3" s="389"/>
      <c r="PE3" s="389"/>
      <c r="PF3" s="388"/>
      <c r="PG3" s="389"/>
      <c r="PH3" s="389"/>
      <c r="PI3" s="389"/>
      <c r="PJ3" s="388"/>
      <c r="PK3" s="389"/>
      <c r="PL3" s="388"/>
      <c r="PM3" s="389"/>
      <c r="PN3" s="388"/>
      <c r="PO3" s="389"/>
      <c r="PP3" s="388"/>
      <c r="PQ3" s="389"/>
      <c r="PR3" s="388"/>
      <c r="PS3" s="389"/>
      <c r="PT3" s="388"/>
      <c r="PU3" s="389"/>
      <c r="PV3" s="388"/>
      <c r="PW3" s="389"/>
      <c r="PX3" s="389"/>
      <c r="PY3" s="389"/>
      <c r="PZ3" s="388"/>
      <c r="QA3" s="389"/>
      <c r="QB3" s="388"/>
      <c r="QC3" s="388"/>
      <c r="QD3" s="388"/>
      <c r="QE3" s="389"/>
      <c r="QF3" s="388"/>
      <c r="QG3" s="389"/>
      <c r="QH3" s="388"/>
      <c r="QI3" s="389"/>
      <c r="QJ3" s="388"/>
      <c r="QK3" s="389"/>
      <c r="QL3" s="388"/>
      <c r="QM3" s="389"/>
      <c r="QN3" s="388"/>
      <c r="QO3" s="389"/>
      <c r="QP3" s="388"/>
      <c r="QQ3" s="389"/>
      <c r="QR3" s="388"/>
      <c r="QS3" s="389"/>
      <c r="QT3" s="388"/>
      <c r="QU3" s="389"/>
      <c r="QV3" s="388"/>
      <c r="QW3" s="389"/>
      <c r="QX3" s="388"/>
      <c r="QY3" s="389"/>
      <c r="QZ3" s="389"/>
      <c r="RA3" s="389"/>
      <c r="RB3" s="388"/>
      <c r="RC3" s="389"/>
      <c r="RD3" s="388"/>
      <c r="RE3" s="389"/>
      <c r="RF3" s="388"/>
      <c r="RG3" s="389"/>
      <c r="RH3" s="388"/>
      <c r="RI3" s="389"/>
      <c r="RJ3" s="388"/>
      <c r="RK3" s="389"/>
      <c r="RL3" s="388"/>
      <c r="RM3" s="389"/>
      <c r="RN3" s="93"/>
      <c r="RO3" s="93"/>
      <c r="RP3" s="93"/>
      <c r="RQ3" s="454"/>
      <c r="RR3" s="93"/>
      <c r="RS3" s="454"/>
      <c r="RT3" s="93"/>
      <c r="RU3" s="454"/>
      <c r="RV3" s="93"/>
      <c r="RW3" s="454"/>
      <c r="RX3" s="93"/>
      <c r="RY3" s="93"/>
      <c r="RZ3" s="93"/>
      <c r="SA3" s="93"/>
      <c r="SB3" s="93"/>
      <c r="SC3" s="454"/>
      <c r="SD3" s="454"/>
      <c r="SE3" s="454"/>
      <c r="SF3" s="93"/>
      <c r="SG3" s="93"/>
      <c r="SH3" s="93"/>
      <c r="SI3" s="93"/>
      <c r="SJ3" s="93"/>
      <c r="SK3" s="454"/>
      <c r="SL3" s="454"/>
      <c r="SM3" s="454"/>
      <c r="SN3" s="93"/>
      <c r="SO3" s="93"/>
      <c r="SP3" s="93"/>
      <c r="SQ3" s="454"/>
      <c r="SR3" s="93"/>
      <c r="SS3" s="454"/>
      <c r="ST3" s="93"/>
      <c r="SU3" s="93"/>
      <c r="SV3" s="93"/>
      <c r="SW3" s="454"/>
      <c r="SX3" s="454"/>
      <c r="SY3" s="454"/>
      <c r="SZ3" s="93"/>
      <c r="TA3" s="454"/>
      <c r="TB3" s="93"/>
      <c r="TC3" s="454"/>
      <c r="TD3" s="93"/>
      <c r="TE3" s="454"/>
      <c r="TF3" s="93"/>
      <c r="TG3" s="454"/>
      <c r="TH3" s="454"/>
      <c r="TI3" s="454"/>
      <c r="TJ3" s="454"/>
      <c r="TK3" s="454"/>
      <c r="TL3" s="93"/>
      <c r="TM3" s="454"/>
      <c r="TN3" s="454"/>
      <c r="TO3" s="454"/>
      <c r="TP3" s="93"/>
      <c r="TQ3" s="454"/>
      <c r="TR3" s="93"/>
      <c r="TS3" s="454"/>
      <c r="TT3" s="93"/>
      <c r="TU3" s="454"/>
      <c r="TV3" s="93"/>
      <c r="TW3" s="454"/>
      <c r="TX3" s="93"/>
      <c r="TY3" s="454"/>
      <c r="TZ3" s="93"/>
      <c r="UA3" s="454"/>
      <c r="UB3" s="93"/>
      <c r="UC3" s="454"/>
      <c r="UD3" s="454"/>
      <c r="UE3" s="454"/>
      <c r="UF3" s="93"/>
      <c r="UG3" s="454"/>
      <c r="UH3" s="93"/>
      <c r="UI3" s="93"/>
      <c r="UJ3" s="93"/>
      <c r="UK3" s="454"/>
      <c r="UL3" s="93"/>
      <c r="UM3" s="454"/>
      <c r="UN3" s="93"/>
      <c r="UO3" s="454"/>
      <c r="UP3" s="93"/>
      <c r="UQ3" s="454"/>
      <c r="UR3" s="93"/>
      <c r="US3" s="454"/>
      <c r="UT3" s="93"/>
      <c r="UU3" s="454"/>
      <c r="UV3" s="93"/>
      <c r="UW3" s="454"/>
      <c r="UX3" s="93"/>
      <c r="UY3" s="454"/>
      <c r="UZ3" s="93"/>
      <c r="VA3" s="454"/>
      <c r="VB3" s="93"/>
      <c r="VC3" s="454"/>
      <c r="VD3" s="93"/>
      <c r="VE3" s="454"/>
      <c r="VF3" s="454"/>
      <c r="VG3" s="454"/>
      <c r="VH3" s="93"/>
      <c r="VI3" s="454"/>
      <c r="VJ3" s="93"/>
      <c r="VK3" s="454"/>
      <c r="VL3" s="93"/>
      <c r="VM3" s="454"/>
      <c r="VN3" s="93"/>
      <c r="VO3" s="454"/>
      <c r="VP3" s="93"/>
      <c r="VQ3" s="454"/>
      <c r="VR3" s="93"/>
      <c r="VS3" s="454"/>
      <c r="VT3" s="93"/>
      <c r="VU3" s="93"/>
      <c r="VV3" s="93"/>
      <c r="VW3" s="467"/>
      <c r="VX3" s="93"/>
      <c r="VY3" s="467"/>
      <c r="VZ3" s="93"/>
      <c r="WA3" s="467"/>
      <c r="WB3" s="93"/>
      <c r="WC3" s="467"/>
      <c r="WD3" s="93"/>
      <c r="WE3" s="93"/>
      <c r="WF3" s="93"/>
      <c r="WG3" s="93"/>
      <c r="WH3" s="93"/>
      <c r="WI3" s="467"/>
      <c r="WJ3" s="467"/>
      <c r="WK3" s="467"/>
      <c r="WL3" s="93"/>
      <c r="WM3" s="93"/>
      <c r="WN3" s="93"/>
      <c r="WO3" s="93"/>
      <c r="WP3" s="93"/>
      <c r="WQ3" s="467"/>
      <c r="WR3" s="467"/>
      <c r="WS3" s="467"/>
      <c r="WT3" s="93"/>
      <c r="WU3" s="93"/>
      <c r="WV3" s="93"/>
      <c r="WW3" s="467"/>
      <c r="WX3" s="93"/>
      <c r="WY3" s="467"/>
      <c r="WZ3" s="93"/>
      <c r="XA3" s="93"/>
      <c r="XB3" s="93"/>
      <c r="XC3" s="467"/>
      <c r="XD3" s="467"/>
      <c r="XE3" s="467"/>
      <c r="XF3" s="93"/>
      <c r="XG3" s="467"/>
      <c r="XH3" s="93"/>
      <c r="XI3" s="467"/>
      <c r="XJ3" s="93"/>
      <c r="XK3" s="467"/>
      <c r="XL3" s="93"/>
      <c r="XM3" s="467"/>
      <c r="XN3" s="467"/>
      <c r="XO3" s="467"/>
      <c r="XP3" s="467"/>
      <c r="XQ3" s="467"/>
      <c r="XR3" s="93"/>
      <c r="XS3" s="467"/>
      <c r="XT3" s="467"/>
      <c r="XU3" s="467"/>
      <c r="XV3" s="93"/>
      <c r="XW3" s="467"/>
      <c r="XX3" s="93"/>
      <c r="XY3" s="467"/>
      <c r="XZ3" s="93"/>
      <c r="YA3" s="467"/>
      <c r="YB3" s="93"/>
      <c r="YC3" s="467"/>
      <c r="YD3" s="93"/>
      <c r="YE3" s="467"/>
      <c r="YF3" s="93"/>
      <c r="YG3" s="467"/>
      <c r="YH3" s="93"/>
      <c r="YI3" s="467"/>
      <c r="YJ3" s="467"/>
      <c r="YK3" s="467"/>
      <c r="YL3" s="93"/>
      <c r="YM3" s="467"/>
      <c r="YN3" s="93"/>
      <c r="YO3" s="93"/>
      <c r="YP3" s="93"/>
      <c r="YQ3" s="467"/>
      <c r="YR3" s="93"/>
      <c r="YS3" s="467"/>
      <c r="YT3" s="93"/>
      <c r="YU3" s="467"/>
      <c r="YV3" s="93"/>
      <c r="YW3" s="467"/>
      <c r="YX3" s="93"/>
      <c r="YY3" s="467"/>
      <c r="YZ3" s="93"/>
      <c r="ZA3" s="467"/>
      <c r="ZB3" s="93"/>
      <c r="ZC3" s="467"/>
      <c r="ZD3" s="93"/>
      <c r="ZE3" s="467"/>
      <c r="ZF3" s="93"/>
      <c r="ZG3" s="467"/>
      <c r="ZH3" s="93"/>
      <c r="ZI3" s="467"/>
      <c r="ZJ3" s="93"/>
      <c r="ZK3" s="467"/>
      <c r="ZL3" s="467"/>
      <c r="ZM3" s="467"/>
      <c r="ZN3" s="93"/>
      <c r="ZO3" s="467"/>
      <c r="ZP3" s="93"/>
      <c r="ZQ3" s="467"/>
      <c r="ZR3" s="93"/>
      <c r="ZS3" s="467"/>
      <c r="ZT3" s="93"/>
      <c r="ZU3" s="467"/>
      <c r="ZV3" s="93"/>
      <c r="ZW3" s="467"/>
      <c r="ZX3" s="93"/>
      <c r="ZY3" s="467"/>
      <c r="ZZ3" s="605"/>
      <c r="AAA3" s="605"/>
      <c r="AAB3" s="605"/>
      <c r="AAC3" s="605"/>
      <c r="AAD3" s="605"/>
      <c r="AAE3" s="605"/>
      <c r="AAF3" s="605"/>
      <c r="AAG3" s="605"/>
      <c r="AAH3" s="605"/>
      <c r="AAI3" s="605"/>
      <c r="AAJ3" s="605"/>
      <c r="AAK3" s="605"/>
      <c r="AAL3" s="605"/>
      <c r="AAM3" s="605"/>
      <c r="AAN3" s="605"/>
      <c r="AAO3" s="605"/>
      <c r="AAP3" s="605"/>
      <c r="AAQ3" s="605"/>
      <c r="AAR3" s="605"/>
      <c r="AAS3" s="605"/>
      <c r="AAT3" s="605"/>
      <c r="AAU3" s="605"/>
      <c r="AAV3" s="605"/>
      <c r="AAW3" s="605"/>
      <c r="AAX3" s="605"/>
      <c r="AAY3" s="605"/>
      <c r="AAZ3" s="605"/>
      <c r="ABA3" s="605"/>
      <c r="ABB3" s="605"/>
      <c r="ABC3" s="605"/>
      <c r="ABD3" s="605"/>
      <c r="ABE3" s="605"/>
      <c r="ABF3" s="605"/>
      <c r="ABG3" s="605"/>
      <c r="ABH3" s="605"/>
      <c r="ABI3" s="605"/>
      <c r="ABJ3" s="605"/>
      <c r="ABK3" s="605"/>
      <c r="ABL3" s="605"/>
      <c r="ABM3" s="605"/>
      <c r="ABN3" s="605"/>
      <c r="ABO3" s="605"/>
      <c r="ABP3" s="605"/>
      <c r="ABQ3" s="605"/>
      <c r="ABR3" s="605"/>
      <c r="ABS3" s="605"/>
      <c r="ABT3" s="605"/>
      <c r="ABU3" s="605"/>
      <c r="ABV3" s="605"/>
      <c r="ABW3" s="605"/>
      <c r="ABX3" s="605"/>
      <c r="ABY3" s="605"/>
      <c r="ABZ3" s="605"/>
      <c r="ACA3" s="605"/>
      <c r="ACB3" s="605"/>
      <c r="ACC3" s="605"/>
      <c r="ACD3" s="605"/>
      <c r="ACE3" s="605"/>
      <c r="ACF3" s="605"/>
      <c r="ACG3" s="605"/>
      <c r="ACH3" s="605"/>
      <c r="ACI3" s="605"/>
      <c r="ACJ3" s="605"/>
      <c r="ACK3" s="605"/>
      <c r="ACL3" s="605"/>
      <c r="ACM3" s="605"/>
      <c r="ACN3" s="605"/>
      <c r="ACO3" s="605"/>
      <c r="ACP3" s="605"/>
      <c r="ACQ3" s="605"/>
      <c r="ACR3" s="605"/>
      <c r="ACS3" s="605"/>
      <c r="ACT3" s="605"/>
      <c r="ACU3" s="605"/>
      <c r="ACV3" s="605"/>
      <c r="ACW3" s="605"/>
      <c r="ACX3" s="605"/>
      <c r="ACY3" s="605"/>
      <c r="ACZ3" s="605"/>
      <c r="ADA3" s="605"/>
      <c r="ADB3" s="605"/>
      <c r="ADC3" s="605"/>
      <c r="ADD3" s="605"/>
      <c r="ADE3" s="605"/>
      <c r="ADF3" s="605"/>
      <c r="ADG3" s="605"/>
      <c r="ADH3" s="605"/>
      <c r="ADI3" s="605"/>
      <c r="ADJ3" s="605"/>
      <c r="ADK3" s="605"/>
      <c r="ADL3" s="605"/>
      <c r="ADM3" s="605"/>
      <c r="ADN3" s="605"/>
      <c r="ADO3" s="605"/>
      <c r="ADP3" s="605"/>
      <c r="ADQ3" s="605"/>
      <c r="ADR3" s="605"/>
      <c r="ADS3" s="605"/>
      <c r="ADT3" s="605"/>
      <c r="ADU3" s="605"/>
      <c r="ADV3" s="605"/>
      <c r="ADW3" s="605"/>
      <c r="ADX3" s="605"/>
      <c r="ADY3" s="605"/>
      <c r="ADZ3" s="605"/>
      <c r="AEA3" s="605"/>
      <c r="AEB3" s="605"/>
      <c r="AEC3" s="605"/>
      <c r="AED3" s="605"/>
      <c r="AEE3" s="605"/>
      <c r="AEF3" s="605"/>
      <c r="AEG3" s="605"/>
      <c r="AEH3" s="605"/>
      <c r="AEI3" s="605"/>
      <c r="AEJ3" s="605"/>
      <c r="AEK3" s="605"/>
      <c r="AEL3" s="605"/>
      <c r="AEM3" s="605"/>
      <c r="AEN3" s="605"/>
      <c r="AEO3" s="605"/>
      <c r="AEP3" s="605"/>
      <c r="AEQ3" s="605"/>
      <c r="AER3" s="605"/>
      <c r="AES3" s="605"/>
      <c r="AET3" s="605"/>
      <c r="AEU3" s="605"/>
      <c r="AEV3" s="605"/>
      <c r="AEW3" s="605"/>
      <c r="AEX3" s="605"/>
      <c r="AEY3" s="605"/>
      <c r="AEZ3" s="605"/>
      <c r="AFA3" s="605"/>
      <c r="AFB3" s="605"/>
      <c r="AFC3" s="605"/>
      <c r="AFD3" s="605"/>
      <c r="AFE3" s="605"/>
      <c r="AFF3" s="605"/>
      <c r="AFG3" s="605"/>
      <c r="AFH3" s="605"/>
      <c r="AFI3" s="605"/>
      <c r="AFJ3" s="605"/>
      <c r="AFK3" s="605"/>
      <c r="AFL3" s="605"/>
      <c r="AFM3" s="605"/>
      <c r="AFN3" s="605"/>
      <c r="AFO3" s="605"/>
      <c r="AFP3" s="605"/>
      <c r="AFQ3" s="605"/>
      <c r="AFR3" s="605"/>
      <c r="AFS3" s="605"/>
      <c r="AFT3" s="605"/>
      <c r="AFU3" s="605"/>
      <c r="AFV3" s="605"/>
      <c r="AFW3" s="605"/>
      <c r="AFX3" s="605"/>
      <c r="AFY3" s="605"/>
      <c r="AFZ3" s="605"/>
      <c r="AGA3" s="605"/>
      <c r="AGB3" s="605"/>
      <c r="AGC3" s="605"/>
      <c r="AGD3" s="605"/>
      <c r="AGE3" s="605"/>
      <c r="AGF3" s="605"/>
      <c r="AGG3" s="605"/>
      <c r="AGH3" s="605"/>
      <c r="AGI3" s="605"/>
      <c r="AGJ3" s="605"/>
      <c r="AGK3" s="605"/>
      <c r="AGL3" s="605"/>
      <c r="AGM3" s="605"/>
      <c r="AGN3" s="605"/>
      <c r="AGO3" s="605"/>
      <c r="AGP3" s="605"/>
      <c r="AGQ3" s="605"/>
      <c r="AGR3" s="605"/>
      <c r="AGS3" s="605"/>
      <c r="AGT3" s="605"/>
      <c r="AGU3" s="605"/>
      <c r="AGV3" s="605"/>
      <c r="AGW3" s="605"/>
      <c r="AGX3" s="605"/>
      <c r="AGY3" s="605"/>
      <c r="AGZ3" s="605"/>
      <c r="AHA3" s="605"/>
      <c r="AHB3" s="605"/>
      <c r="AHC3" s="605"/>
      <c r="AHD3" s="605"/>
      <c r="AHE3" s="605"/>
      <c r="AHF3" s="605"/>
      <c r="AHG3" s="605"/>
      <c r="AHH3" s="605"/>
      <c r="AHI3" s="605"/>
      <c r="AHJ3" s="605"/>
      <c r="AHK3" s="605"/>
      <c r="AHL3" s="605"/>
      <c r="AHM3" s="605"/>
      <c r="AHN3" s="605"/>
      <c r="AHO3" s="605"/>
      <c r="AHP3" s="605"/>
      <c r="AHQ3" s="605"/>
      <c r="AHR3" s="605"/>
      <c r="AHS3" s="605"/>
      <c r="AHT3" s="605"/>
      <c r="AHU3" s="605"/>
      <c r="AHV3" s="605"/>
      <c r="AHW3" s="605"/>
      <c r="AHX3" s="605"/>
      <c r="AHY3" s="605"/>
      <c r="AHZ3" s="605"/>
      <c r="AIA3" s="605"/>
      <c r="AIB3" s="605"/>
      <c r="AIC3" s="605"/>
      <c r="AID3" s="605"/>
      <c r="AIE3" s="605"/>
      <c r="AIF3" s="605"/>
      <c r="AIG3" s="605"/>
      <c r="AIH3" s="605"/>
      <c r="AII3" s="605"/>
      <c r="AIJ3" s="605"/>
      <c r="AIK3" s="605"/>
      <c r="AIL3" s="605"/>
      <c r="AIM3" s="605"/>
      <c r="AIN3" s="605"/>
      <c r="AIO3" s="605"/>
      <c r="AIP3" s="605"/>
      <c r="AIQ3" s="605"/>
      <c r="AIR3" s="605"/>
      <c r="AIS3" s="605"/>
      <c r="AIT3" s="605"/>
      <c r="AIU3" s="605"/>
      <c r="AIV3" s="605"/>
      <c r="AIW3" s="605"/>
      <c r="AIX3" s="605"/>
      <c r="AIY3" s="605"/>
      <c r="AIZ3" s="605"/>
      <c r="AJA3" s="605"/>
      <c r="AJB3" s="605"/>
      <c r="AJC3" s="605"/>
      <c r="AJD3" s="605"/>
      <c r="AJE3" s="605"/>
      <c r="AJF3" s="605"/>
      <c r="AJG3" s="605"/>
      <c r="AJH3" s="605"/>
      <c r="AJI3" s="605"/>
      <c r="AJJ3" s="605"/>
      <c r="AJK3" s="605"/>
      <c r="AJL3" s="605"/>
      <c r="AJM3" s="605"/>
      <c r="AJN3" s="605"/>
      <c r="AJO3" s="605"/>
    </row>
    <row r="4" spans="1:951" x14ac:dyDescent="0.25">
      <c r="A4" s="90" t="s">
        <v>6</v>
      </c>
      <c r="B4" s="97"/>
      <c r="C4" s="97"/>
      <c r="D4" s="94"/>
      <c r="E4" s="94"/>
      <c r="F4" s="94"/>
      <c r="G4" s="97"/>
      <c r="H4" s="97"/>
      <c r="I4" s="97"/>
      <c r="J4" s="97"/>
      <c r="K4" s="97"/>
      <c r="L4" s="97"/>
      <c r="M4" s="95"/>
      <c r="N4" s="97"/>
      <c r="O4" s="97"/>
      <c r="P4" s="97"/>
      <c r="Q4" s="97"/>
      <c r="R4" s="95"/>
      <c r="S4" s="97"/>
      <c r="T4" s="97"/>
      <c r="U4" s="97"/>
      <c r="V4" s="97"/>
      <c r="W4" s="95"/>
      <c r="X4" s="97"/>
      <c r="Y4" s="97"/>
      <c r="Z4" s="97"/>
      <c r="AA4" s="95"/>
      <c r="AB4" s="95"/>
      <c r="AC4" s="97"/>
      <c r="AD4" s="97"/>
      <c r="AE4" s="97"/>
      <c r="AF4" s="97"/>
      <c r="AG4" s="95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5"/>
      <c r="AV4" s="95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5"/>
      <c r="BU4" s="95"/>
      <c r="BV4" s="97"/>
      <c r="BW4" s="97"/>
      <c r="BX4" s="97"/>
      <c r="BY4" s="97"/>
      <c r="BZ4" s="97"/>
      <c r="CA4" s="97"/>
      <c r="CB4" s="97"/>
      <c r="CC4" s="97"/>
      <c r="CD4" s="97"/>
      <c r="CE4" s="95"/>
      <c r="CF4" s="97"/>
      <c r="CG4" s="97"/>
      <c r="CH4" s="97"/>
      <c r="CI4" s="97"/>
      <c r="CJ4" s="95"/>
      <c r="CK4" s="97"/>
      <c r="CL4" s="97"/>
      <c r="CM4" s="97"/>
      <c r="CN4" s="97"/>
      <c r="CO4" s="95"/>
      <c r="CP4" s="97"/>
      <c r="CQ4" s="97"/>
      <c r="CR4" s="97"/>
      <c r="CS4" s="101"/>
      <c r="CT4" s="101"/>
      <c r="CU4" s="97"/>
      <c r="CV4" s="97"/>
      <c r="CW4" s="97"/>
      <c r="CX4" s="97"/>
      <c r="CY4" s="101"/>
      <c r="CZ4" s="97"/>
      <c r="DA4" s="97"/>
      <c r="DB4" s="97"/>
      <c r="DC4" s="97"/>
      <c r="DD4" s="101"/>
      <c r="DE4" s="97"/>
      <c r="DF4" s="97"/>
      <c r="DG4" s="97"/>
      <c r="DH4" s="97"/>
      <c r="DI4" s="101"/>
      <c r="DJ4" s="97"/>
      <c r="DK4" s="97"/>
      <c r="DL4" s="97"/>
      <c r="DM4" s="97"/>
      <c r="DN4" s="101"/>
      <c r="DO4" s="97"/>
      <c r="DP4" s="97"/>
      <c r="DQ4" s="97"/>
      <c r="DR4" s="97"/>
      <c r="DS4" s="101"/>
      <c r="DT4" s="97"/>
      <c r="DU4" s="97"/>
      <c r="DV4" s="97"/>
      <c r="DW4" s="97"/>
      <c r="DX4" s="101"/>
      <c r="DY4" s="97"/>
      <c r="DZ4" s="97"/>
      <c r="EA4" s="97"/>
      <c r="EB4" s="97"/>
      <c r="EC4" s="101"/>
      <c r="ED4" s="97"/>
      <c r="EE4" s="97"/>
      <c r="EF4" s="97"/>
      <c r="EG4" s="97"/>
      <c r="EH4" s="101"/>
      <c r="EI4" s="97"/>
      <c r="EJ4" s="97"/>
      <c r="EK4" s="97"/>
      <c r="EL4" s="97"/>
      <c r="EM4" s="101"/>
      <c r="EN4" s="97"/>
      <c r="EO4" s="97"/>
      <c r="EP4" s="97"/>
      <c r="EQ4" s="97"/>
      <c r="ER4" s="101"/>
      <c r="ES4" s="97"/>
      <c r="ET4" s="97"/>
      <c r="EU4" s="97"/>
      <c r="EV4" s="97"/>
      <c r="EW4" s="97"/>
      <c r="EX4" s="97"/>
      <c r="EY4" s="235"/>
      <c r="EZ4" s="97"/>
      <c r="FA4" s="235"/>
      <c r="FB4" s="97"/>
      <c r="FC4" s="235"/>
      <c r="FD4" s="97"/>
      <c r="FE4" s="235"/>
      <c r="FF4" s="97"/>
      <c r="FG4" s="97"/>
      <c r="FH4" s="97"/>
      <c r="FI4" s="97"/>
      <c r="FJ4" s="97"/>
      <c r="FK4" s="235"/>
      <c r="FL4" s="235"/>
      <c r="FM4" s="235"/>
      <c r="FN4" s="97"/>
      <c r="FO4" s="97"/>
      <c r="FP4" s="97"/>
      <c r="FQ4" s="97"/>
      <c r="FR4" s="97"/>
      <c r="FS4" s="235"/>
      <c r="FT4" s="97"/>
      <c r="FU4" s="97"/>
      <c r="FV4" s="97"/>
      <c r="FW4" s="97"/>
      <c r="FX4" s="97"/>
      <c r="FY4" s="235"/>
      <c r="FZ4" s="97"/>
      <c r="GA4" s="235"/>
      <c r="GB4" s="97"/>
      <c r="GC4" s="97"/>
      <c r="GD4" s="97"/>
      <c r="GE4" s="235"/>
      <c r="GF4" s="235"/>
      <c r="GG4" s="235"/>
      <c r="GH4" s="97"/>
      <c r="GI4" s="235"/>
      <c r="GJ4" s="97"/>
      <c r="GK4" s="235"/>
      <c r="GL4" s="97"/>
      <c r="GM4" s="235"/>
      <c r="GN4" s="97"/>
      <c r="GO4" s="235"/>
      <c r="GP4" s="235"/>
      <c r="GQ4" s="235"/>
      <c r="GR4" s="235"/>
      <c r="GS4" s="235"/>
      <c r="GT4" s="97"/>
      <c r="GU4" s="235"/>
      <c r="GV4" s="235"/>
      <c r="GW4" s="235"/>
      <c r="GX4" s="97"/>
      <c r="GY4" s="235"/>
      <c r="GZ4" s="97"/>
      <c r="HA4" s="235"/>
      <c r="HB4" s="97"/>
      <c r="HC4" s="235"/>
      <c r="HD4" s="97"/>
      <c r="HE4" s="235"/>
      <c r="HF4" s="97"/>
      <c r="HG4" s="235"/>
      <c r="HH4" s="97"/>
      <c r="HI4" s="235"/>
      <c r="HJ4" s="97"/>
      <c r="HK4" s="235"/>
      <c r="HL4" s="235"/>
      <c r="HM4" s="235"/>
      <c r="HN4" s="97"/>
      <c r="HO4" s="235"/>
      <c r="HP4" s="97"/>
      <c r="HQ4" s="97"/>
      <c r="HR4" s="97"/>
      <c r="HS4" s="235"/>
      <c r="HT4" s="97"/>
      <c r="HU4" s="235"/>
      <c r="HV4" s="97"/>
      <c r="HW4" s="235"/>
      <c r="HX4" s="97"/>
      <c r="HY4" s="235"/>
      <c r="HZ4" s="97"/>
      <c r="IA4" s="235"/>
      <c r="IB4" s="97"/>
      <c r="IC4" s="235"/>
      <c r="ID4" s="97"/>
      <c r="IE4" s="235"/>
      <c r="IF4" s="97"/>
      <c r="IG4" s="235"/>
      <c r="IH4" s="97"/>
      <c r="II4" s="235"/>
      <c r="IJ4" s="97"/>
      <c r="IK4" s="235"/>
      <c r="IL4" s="97"/>
      <c r="IM4" s="235"/>
      <c r="IN4" s="235"/>
      <c r="IO4" s="235"/>
      <c r="IP4" s="97"/>
      <c r="IQ4" s="235"/>
      <c r="IR4" s="97"/>
      <c r="IS4" s="235"/>
      <c r="IT4" s="97"/>
      <c r="IU4" s="235"/>
      <c r="IV4" s="97"/>
      <c r="IW4" s="235"/>
      <c r="IX4" s="97"/>
      <c r="IY4" s="235"/>
      <c r="IZ4" s="97"/>
      <c r="JA4" s="235"/>
      <c r="JB4" s="97"/>
      <c r="JC4" s="97"/>
      <c r="JD4" s="97"/>
      <c r="JE4" s="299"/>
      <c r="JF4" s="97"/>
      <c r="JG4" s="299"/>
      <c r="JH4" s="97"/>
      <c r="JI4" s="299"/>
      <c r="JJ4" s="97"/>
      <c r="JK4" s="299"/>
      <c r="JL4" s="97"/>
      <c r="JM4" s="97"/>
      <c r="JN4" s="97"/>
      <c r="JO4" s="97"/>
      <c r="JP4" s="97"/>
      <c r="JQ4" s="299"/>
      <c r="JR4" s="299"/>
      <c r="JS4" s="299"/>
      <c r="JT4" s="97"/>
      <c r="JU4" s="97"/>
      <c r="JV4" s="97"/>
      <c r="JW4" s="97"/>
      <c r="JX4" s="97"/>
      <c r="JY4" s="299"/>
      <c r="JZ4" s="97"/>
      <c r="KA4" s="97"/>
      <c r="KB4" s="97"/>
      <c r="KC4" s="97"/>
      <c r="KD4" s="97"/>
      <c r="KE4" s="299"/>
      <c r="KF4" s="97"/>
      <c r="KG4" s="299"/>
      <c r="KH4" s="97"/>
      <c r="KI4" s="97"/>
      <c r="KJ4" s="97"/>
      <c r="KK4" s="299"/>
      <c r="KL4" s="299"/>
      <c r="KM4" s="299"/>
      <c r="KN4" s="97"/>
      <c r="KO4" s="299"/>
      <c r="KP4" s="97"/>
      <c r="KQ4" s="299"/>
      <c r="KR4" s="97"/>
      <c r="KS4" s="299"/>
      <c r="KT4" s="97"/>
      <c r="KU4" s="299"/>
      <c r="KV4" s="299"/>
      <c r="KW4" s="299"/>
      <c r="KX4" s="299"/>
      <c r="KY4" s="299"/>
      <c r="KZ4" s="97"/>
      <c r="LA4" s="299"/>
      <c r="LB4" s="299"/>
      <c r="LC4" s="299"/>
      <c r="LD4" s="97"/>
      <c r="LE4" s="299"/>
      <c r="LF4" s="97"/>
      <c r="LG4" s="299"/>
      <c r="LH4" s="97"/>
      <c r="LI4" s="299"/>
      <c r="LJ4" s="97"/>
      <c r="LK4" s="299"/>
      <c r="LL4" s="97"/>
      <c r="LM4" s="299"/>
      <c r="LN4" s="97"/>
      <c r="LO4" s="299"/>
      <c r="LP4" s="97"/>
      <c r="LQ4" s="299"/>
      <c r="LR4" s="299"/>
      <c r="LS4" s="299"/>
      <c r="LT4" s="97"/>
      <c r="LU4" s="299"/>
      <c r="LV4" s="97"/>
      <c r="LW4" s="97"/>
      <c r="LX4" s="97"/>
      <c r="LY4" s="299"/>
      <c r="LZ4" s="97"/>
      <c r="MA4" s="299"/>
      <c r="MB4" s="97"/>
      <c r="MC4" s="299"/>
      <c r="MD4" s="97"/>
      <c r="ME4" s="299"/>
      <c r="MF4" s="97"/>
      <c r="MG4" s="299"/>
      <c r="MH4" s="97"/>
      <c r="MI4" s="299"/>
      <c r="MJ4" s="97"/>
      <c r="MK4" s="299"/>
      <c r="ML4" s="97"/>
      <c r="MM4" s="299"/>
      <c r="MN4" s="97"/>
      <c r="MO4" s="299"/>
      <c r="MP4" s="97"/>
      <c r="MQ4" s="299"/>
      <c r="MR4" s="97"/>
      <c r="MS4" s="299"/>
      <c r="MT4" s="299"/>
      <c r="MU4" s="299"/>
      <c r="MV4" s="97"/>
      <c r="MW4" s="299"/>
      <c r="MX4" s="97"/>
      <c r="MY4" s="299"/>
      <c r="MZ4" s="97"/>
      <c r="NA4" s="299"/>
      <c r="NB4" s="97"/>
      <c r="NC4" s="299"/>
      <c r="ND4" s="97"/>
      <c r="NE4" s="299"/>
      <c r="NF4" s="97"/>
      <c r="NG4" s="299"/>
      <c r="NH4" s="390"/>
      <c r="NI4" s="390"/>
      <c r="NJ4" s="390"/>
      <c r="NK4" s="389"/>
      <c r="NL4" s="390"/>
      <c r="NM4" s="389"/>
      <c r="NN4" s="390"/>
      <c r="NO4" s="389"/>
      <c r="NP4" s="390"/>
      <c r="NQ4" s="389"/>
      <c r="NR4" s="390"/>
      <c r="NS4" s="390"/>
      <c r="NT4" s="390"/>
      <c r="NU4" s="390"/>
      <c r="NV4" s="390"/>
      <c r="NW4" s="389"/>
      <c r="NX4" s="389"/>
      <c r="NY4" s="389"/>
      <c r="NZ4" s="390"/>
      <c r="OA4" s="390"/>
      <c r="OB4" s="390"/>
      <c r="OC4" s="390"/>
      <c r="OD4" s="390"/>
      <c r="OE4" s="389"/>
      <c r="OF4" s="390"/>
      <c r="OG4" s="390"/>
      <c r="OH4" s="390"/>
      <c r="OI4" s="390"/>
      <c r="OJ4" s="390"/>
      <c r="OK4" s="389"/>
      <c r="OL4" s="390"/>
      <c r="OM4" s="389"/>
      <c r="ON4" s="390"/>
      <c r="OO4" s="390"/>
      <c r="OP4" s="390"/>
      <c r="OQ4" s="389"/>
      <c r="OR4" s="389"/>
      <c r="OS4" s="389"/>
      <c r="OT4" s="390"/>
      <c r="OU4" s="389"/>
      <c r="OV4" s="390"/>
      <c r="OW4" s="389"/>
      <c r="OX4" s="390"/>
      <c r="OY4" s="389"/>
      <c r="OZ4" s="390"/>
      <c r="PA4" s="389"/>
      <c r="PB4" s="389"/>
      <c r="PC4" s="389"/>
      <c r="PD4" s="389"/>
      <c r="PE4" s="389"/>
      <c r="PF4" s="390"/>
      <c r="PG4" s="389"/>
      <c r="PH4" s="389"/>
      <c r="PI4" s="389"/>
      <c r="PJ4" s="390"/>
      <c r="PK4" s="389"/>
      <c r="PL4" s="390"/>
      <c r="PM4" s="389"/>
      <c r="PN4" s="390"/>
      <c r="PO4" s="389"/>
      <c r="PP4" s="390"/>
      <c r="PQ4" s="389"/>
      <c r="PR4" s="390"/>
      <c r="PS4" s="389"/>
      <c r="PT4" s="390"/>
      <c r="PU4" s="389"/>
      <c r="PV4" s="390"/>
      <c r="PW4" s="389"/>
      <c r="PX4" s="389"/>
      <c r="PY4" s="389"/>
      <c r="PZ4" s="390"/>
      <c r="QA4" s="389"/>
      <c r="QB4" s="390"/>
      <c r="QC4" s="390"/>
      <c r="QD4" s="390"/>
      <c r="QE4" s="389"/>
      <c r="QF4" s="390"/>
      <c r="QG4" s="389"/>
      <c r="QH4" s="390"/>
      <c r="QI4" s="389"/>
      <c r="QJ4" s="390"/>
      <c r="QK4" s="389"/>
      <c r="QL4" s="390"/>
      <c r="QM4" s="389"/>
      <c r="QN4" s="390"/>
      <c r="QO4" s="389"/>
      <c r="QP4" s="390"/>
      <c r="QQ4" s="389"/>
      <c r="QR4" s="390"/>
      <c r="QS4" s="389"/>
      <c r="QT4" s="390"/>
      <c r="QU4" s="389"/>
      <c r="QV4" s="390"/>
      <c r="QW4" s="389"/>
      <c r="QX4" s="390"/>
      <c r="QY4" s="389"/>
      <c r="QZ4" s="389"/>
      <c r="RA4" s="389"/>
      <c r="RB4" s="390"/>
      <c r="RC4" s="389"/>
      <c r="RD4" s="390"/>
      <c r="RE4" s="389"/>
      <c r="RF4" s="390"/>
      <c r="RG4" s="389"/>
      <c r="RH4" s="390"/>
      <c r="RI4" s="389"/>
      <c r="RJ4" s="390"/>
      <c r="RK4" s="389"/>
      <c r="RL4" s="390"/>
      <c r="RM4" s="389"/>
      <c r="RN4" s="97"/>
      <c r="RO4" s="97"/>
      <c r="RP4" s="97"/>
      <c r="RQ4" s="454"/>
      <c r="RR4" s="97"/>
      <c r="RS4" s="454"/>
      <c r="RT4" s="97"/>
      <c r="RU4" s="454"/>
      <c r="RV4" s="97"/>
      <c r="RW4" s="454"/>
      <c r="RX4" s="97"/>
      <c r="RY4" s="97"/>
      <c r="RZ4" s="97"/>
      <c r="SA4" s="97"/>
      <c r="SB4" s="97"/>
      <c r="SC4" s="454"/>
      <c r="SD4" s="454"/>
      <c r="SE4" s="454"/>
      <c r="SF4" s="97"/>
      <c r="SG4" s="97"/>
      <c r="SH4" s="97"/>
      <c r="SI4" s="97"/>
      <c r="SJ4" s="97"/>
      <c r="SK4" s="454"/>
      <c r="SL4" s="454"/>
      <c r="SM4" s="454"/>
      <c r="SN4" s="97"/>
      <c r="SO4" s="97"/>
      <c r="SP4" s="97"/>
      <c r="SQ4" s="454"/>
      <c r="SR4" s="97"/>
      <c r="SS4" s="454"/>
      <c r="ST4" s="97"/>
      <c r="SU4" s="97"/>
      <c r="SV4" s="97"/>
      <c r="SW4" s="454"/>
      <c r="SX4" s="454"/>
      <c r="SY4" s="454"/>
      <c r="SZ4" s="97"/>
      <c r="TA4" s="454"/>
      <c r="TB4" s="97"/>
      <c r="TC4" s="454"/>
      <c r="TD4" s="97"/>
      <c r="TE4" s="454"/>
      <c r="TF4" s="97"/>
      <c r="TG4" s="454"/>
      <c r="TH4" s="454"/>
      <c r="TI4" s="454"/>
      <c r="TJ4" s="454"/>
      <c r="TK4" s="454"/>
      <c r="TL4" s="97"/>
      <c r="TM4" s="454"/>
      <c r="TN4" s="454"/>
      <c r="TO4" s="454"/>
      <c r="TP4" s="97"/>
      <c r="TQ4" s="454"/>
      <c r="TR4" s="97"/>
      <c r="TS4" s="454"/>
      <c r="TT4" s="97"/>
      <c r="TU4" s="454"/>
      <c r="TV4" s="97"/>
      <c r="TW4" s="454"/>
      <c r="TX4" s="97"/>
      <c r="TY4" s="454"/>
      <c r="TZ4" s="97"/>
      <c r="UA4" s="454"/>
      <c r="UB4" s="97"/>
      <c r="UC4" s="454"/>
      <c r="UD4" s="454"/>
      <c r="UE4" s="454"/>
      <c r="UF4" s="97"/>
      <c r="UG4" s="454"/>
      <c r="UH4" s="97"/>
      <c r="UI4" s="97"/>
      <c r="UJ4" s="97"/>
      <c r="UK4" s="454"/>
      <c r="UL4" s="97"/>
      <c r="UM4" s="454"/>
      <c r="UN4" s="97"/>
      <c r="UO4" s="454"/>
      <c r="UP4" s="97"/>
      <c r="UQ4" s="454"/>
      <c r="UR4" s="97"/>
      <c r="US4" s="454"/>
      <c r="UT4" s="97"/>
      <c r="UU4" s="454"/>
      <c r="UV4" s="97"/>
      <c r="UW4" s="454"/>
      <c r="UX4" s="97"/>
      <c r="UY4" s="454"/>
      <c r="UZ4" s="97"/>
      <c r="VA4" s="454"/>
      <c r="VB4" s="97"/>
      <c r="VC4" s="454"/>
      <c r="VD4" s="97"/>
      <c r="VE4" s="454"/>
      <c r="VF4" s="454"/>
      <c r="VG4" s="454"/>
      <c r="VH4" s="97"/>
      <c r="VI4" s="454"/>
      <c r="VJ4" s="97"/>
      <c r="VK4" s="454"/>
      <c r="VL4" s="97"/>
      <c r="VM4" s="454"/>
      <c r="VN4" s="97"/>
      <c r="VO4" s="454"/>
      <c r="VP4" s="97"/>
      <c r="VQ4" s="454"/>
      <c r="VR4" s="97"/>
      <c r="VS4" s="454"/>
      <c r="VT4" s="97"/>
      <c r="VU4" s="97"/>
      <c r="VV4" s="97"/>
      <c r="VW4" s="467"/>
      <c r="VX4" s="97"/>
      <c r="VY4" s="467"/>
      <c r="VZ4" s="97"/>
      <c r="WA4" s="467"/>
      <c r="WB4" s="97"/>
      <c r="WC4" s="467"/>
      <c r="WD4" s="97"/>
      <c r="WE4" s="97"/>
      <c r="WF4" s="97"/>
      <c r="WG4" s="97"/>
      <c r="WH4" s="97"/>
      <c r="WI4" s="467"/>
      <c r="WJ4" s="467"/>
      <c r="WK4" s="467"/>
      <c r="WL4" s="97"/>
      <c r="WM4" s="97"/>
      <c r="WN4" s="97"/>
      <c r="WO4" s="97"/>
      <c r="WP4" s="97"/>
      <c r="WQ4" s="467"/>
      <c r="WR4" s="467"/>
      <c r="WS4" s="467"/>
      <c r="WT4" s="97"/>
      <c r="WU4" s="97"/>
      <c r="WV4" s="97"/>
      <c r="WW4" s="467"/>
      <c r="WX4" s="97"/>
      <c r="WY4" s="467"/>
      <c r="WZ4" s="97"/>
      <c r="XA4" s="97"/>
      <c r="XB4" s="97"/>
      <c r="XC4" s="467"/>
      <c r="XD4" s="467"/>
      <c r="XE4" s="467"/>
      <c r="XF4" s="97"/>
      <c r="XG4" s="467"/>
      <c r="XH4" s="97"/>
      <c r="XI4" s="467"/>
      <c r="XJ4" s="97"/>
      <c r="XK4" s="467"/>
      <c r="XL4" s="97"/>
      <c r="XM4" s="467"/>
      <c r="XN4" s="467"/>
      <c r="XO4" s="467"/>
      <c r="XP4" s="467"/>
      <c r="XQ4" s="467"/>
      <c r="XR4" s="97"/>
      <c r="XS4" s="467"/>
      <c r="XT4" s="467"/>
      <c r="XU4" s="467"/>
      <c r="XV4" s="97"/>
      <c r="XW4" s="467"/>
      <c r="XX4" s="97"/>
      <c r="XY4" s="467"/>
      <c r="XZ4" s="97"/>
      <c r="YA4" s="467"/>
      <c r="YB4" s="97"/>
      <c r="YC4" s="467"/>
      <c r="YD4" s="97"/>
      <c r="YE4" s="467"/>
      <c r="YF4" s="97"/>
      <c r="YG4" s="467"/>
      <c r="YH4" s="97"/>
      <c r="YI4" s="467"/>
      <c r="YJ4" s="467"/>
      <c r="YK4" s="467"/>
      <c r="YL4" s="97"/>
      <c r="YM4" s="467"/>
      <c r="YN4" s="97"/>
      <c r="YO4" s="97"/>
      <c r="YP4" s="97"/>
      <c r="YQ4" s="467"/>
      <c r="YR4" s="97"/>
      <c r="YS4" s="467"/>
      <c r="YT4" s="97"/>
      <c r="YU4" s="467"/>
      <c r="YV4" s="97"/>
      <c r="YW4" s="467"/>
      <c r="YX4" s="97"/>
      <c r="YY4" s="467"/>
      <c r="YZ4" s="97"/>
      <c r="ZA4" s="467"/>
      <c r="ZB4" s="97"/>
      <c r="ZC4" s="467"/>
      <c r="ZD4" s="97"/>
      <c r="ZE4" s="467"/>
      <c r="ZF4" s="97"/>
      <c r="ZG4" s="467"/>
      <c r="ZH4" s="97"/>
      <c r="ZI4" s="467"/>
      <c r="ZJ4" s="97"/>
      <c r="ZK4" s="467"/>
      <c r="ZL4" s="467"/>
      <c r="ZM4" s="467"/>
      <c r="ZN4" s="97"/>
      <c r="ZO4" s="467"/>
      <c r="ZP4" s="97"/>
      <c r="ZQ4" s="467"/>
      <c r="ZR4" s="97"/>
      <c r="ZS4" s="467"/>
      <c r="ZT4" s="97"/>
      <c r="ZU4" s="467"/>
      <c r="ZV4" s="97"/>
      <c r="ZW4" s="467"/>
      <c r="ZX4" s="97"/>
      <c r="ZY4" s="467"/>
      <c r="ZZ4" s="605"/>
      <c r="AAA4" s="605"/>
      <c r="AAB4" s="605"/>
      <c r="AAC4" s="605"/>
      <c r="AAD4" s="605"/>
      <c r="AAE4" s="605"/>
      <c r="AAF4" s="605"/>
      <c r="AAG4" s="605"/>
      <c r="AAH4" s="605"/>
      <c r="AAI4" s="605"/>
      <c r="AAJ4" s="605"/>
      <c r="AAK4" s="605"/>
      <c r="AAL4" s="605"/>
      <c r="AAM4" s="605"/>
      <c r="AAN4" s="605"/>
      <c r="AAO4" s="605"/>
      <c r="AAP4" s="605"/>
      <c r="AAQ4" s="605"/>
      <c r="AAR4" s="605"/>
      <c r="AAS4" s="605"/>
      <c r="AAT4" s="605"/>
      <c r="AAU4" s="605"/>
      <c r="AAV4" s="605"/>
      <c r="AAW4" s="605"/>
      <c r="AAX4" s="605"/>
      <c r="AAY4" s="605"/>
      <c r="AAZ4" s="605"/>
      <c r="ABA4" s="605"/>
      <c r="ABB4" s="605"/>
      <c r="ABC4" s="605"/>
      <c r="ABD4" s="605"/>
      <c r="ABE4" s="605"/>
      <c r="ABF4" s="605"/>
      <c r="ABG4" s="605"/>
      <c r="ABH4" s="605"/>
      <c r="ABI4" s="605"/>
      <c r="ABJ4" s="605"/>
      <c r="ABK4" s="605"/>
      <c r="ABL4" s="605"/>
      <c r="ABM4" s="605"/>
      <c r="ABN4" s="605"/>
      <c r="ABO4" s="605"/>
      <c r="ABP4" s="605"/>
      <c r="ABQ4" s="605"/>
      <c r="ABR4" s="605"/>
      <c r="ABS4" s="605"/>
      <c r="ABT4" s="605"/>
      <c r="ABU4" s="605"/>
      <c r="ABV4" s="605"/>
      <c r="ABW4" s="605"/>
      <c r="ABX4" s="605"/>
      <c r="ABY4" s="605"/>
      <c r="ABZ4" s="605"/>
      <c r="ACA4" s="605"/>
      <c r="ACB4" s="605"/>
      <c r="ACC4" s="605"/>
      <c r="ACD4" s="605"/>
      <c r="ACE4" s="605"/>
      <c r="ACF4" s="605"/>
      <c r="ACG4" s="605"/>
      <c r="ACH4" s="605"/>
      <c r="ACI4" s="605"/>
      <c r="ACJ4" s="605"/>
      <c r="ACK4" s="605"/>
      <c r="ACL4" s="605"/>
      <c r="ACM4" s="605"/>
      <c r="ACN4" s="605"/>
      <c r="ACO4" s="605"/>
      <c r="ACP4" s="605"/>
      <c r="ACQ4" s="605"/>
      <c r="ACR4" s="605"/>
      <c r="ACS4" s="605"/>
      <c r="ACT4" s="605"/>
      <c r="ACU4" s="605"/>
      <c r="ACV4" s="605"/>
      <c r="ACW4" s="605"/>
      <c r="ACX4" s="605"/>
      <c r="ACY4" s="605"/>
      <c r="ACZ4" s="605"/>
      <c r="ADA4" s="605"/>
      <c r="ADB4" s="605"/>
      <c r="ADC4" s="605"/>
      <c r="ADD4" s="605"/>
      <c r="ADE4" s="605"/>
      <c r="ADF4" s="605"/>
      <c r="ADG4" s="605"/>
      <c r="ADH4" s="605"/>
      <c r="ADI4" s="605"/>
      <c r="ADJ4" s="605"/>
      <c r="ADK4" s="605"/>
      <c r="ADL4" s="605"/>
      <c r="ADM4" s="605"/>
      <c r="ADN4" s="605"/>
      <c r="ADO4" s="605"/>
      <c r="ADP4" s="605"/>
      <c r="ADQ4" s="605"/>
      <c r="ADR4" s="605"/>
      <c r="ADS4" s="605"/>
      <c r="ADT4" s="605"/>
      <c r="ADU4" s="605"/>
      <c r="ADV4" s="605"/>
      <c r="ADW4" s="605"/>
      <c r="ADX4" s="605"/>
      <c r="ADY4" s="605"/>
      <c r="ADZ4" s="605"/>
      <c r="AEA4" s="605"/>
      <c r="AEB4" s="605"/>
      <c r="AEC4" s="605"/>
      <c r="AED4" s="605"/>
      <c r="AEE4" s="605"/>
      <c r="AEF4" s="605"/>
      <c r="AEG4" s="605"/>
      <c r="AEH4" s="605"/>
      <c r="AEI4" s="605"/>
      <c r="AEJ4" s="605"/>
      <c r="AEK4" s="605"/>
      <c r="AEL4" s="605"/>
      <c r="AEM4" s="605"/>
      <c r="AEN4" s="605"/>
      <c r="AEO4" s="605"/>
      <c r="AEP4" s="605"/>
      <c r="AEQ4" s="605"/>
      <c r="AER4" s="605"/>
      <c r="AES4" s="605"/>
      <c r="AET4" s="605"/>
      <c r="AEU4" s="605"/>
      <c r="AEV4" s="605"/>
      <c r="AEW4" s="605"/>
      <c r="AEX4" s="605"/>
      <c r="AEY4" s="605"/>
      <c r="AEZ4" s="605"/>
      <c r="AFA4" s="605"/>
      <c r="AFB4" s="605"/>
      <c r="AFC4" s="605"/>
      <c r="AFD4" s="605"/>
      <c r="AFE4" s="605"/>
      <c r="AFF4" s="605"/>
      <c r="AFG4" s="605"/>
      <c r="AFH4" s="605"/>
      <c r="AFI4" s="605"/>
      <c r="AFJ4" s="605"/>
      <c r="AFK4" s="605"/>
      <c r="AFL4" s="605"/>
      <c r="AFM4" s="605"/>
      <c r="AFN4" s="605"/>
      <c r="AFO4" s="605"/>
      <c r="AFP4" s="605"/>
      <c r="AFQ4" s="605"/>
      <c r="AFR4" s="605"/>
      <c r="AFS4" s="605"/>
      <c r="AFT4" s="605"/>
      <c r="AFU4" s="605"/>
      <c r="AFV4" s="605"/>
      <c r="AFW4" s="605"/>
      <c r="AFX4" s="605"/>
      <c r="AFY4" s="605"/>
      <c r="AFZ4" s="605"/>
      <c r="AGA4" s="605"/>
      <c r="AGB4" s="605"/>
      <c r="AGC4" s="605"/>
      <c r="AGD4" s="605"/>
      <c r="AGE4" s="605"/>
      <c r="AGF4" s="605"/>
      <c r="AGG4" s="605"/>
      <c r="AGH4" s="605"/>
      <c r="AGI4" s="605"/>
      <c r="AGJ4" s="605"/>
      <c r="AGK4" s="605"/>
      <c r="AGL4" s="605"/>
      <c r="AGM4" s="605"/>
      <c r="AGN4" s="605"/>
      <c r="AGO4" s="605"/>
      <c r="AGP4" s="605"/>
      <c r="AGQ4" s="605"/>
      <c r="AGR4" s="605"/>
      <c r="AGS4" s="605"/>
      <c r="AGT4" s="605"/>
      <c r="AGU4" s="605"/>
      <c r="AGV4" s="605"/>
      <c r="AGW4" s="605"/>
      <c r="AGX4" s="605"/>
      <c r="AGY4" s="605"/>
      <c r="AGZ4" s="605"/>
      <c r="AHA4" s="605"/>
      <c r="AHB4" s="605"/>
      <c r="AHC4" s="605"/>
      <c r="AHD4" s="605"/>
      <c r="AHE4" s="605"/>
      <c r="AHF4" s="605"/>
      <c r="AHG4" s="605"/>
      <c r="AHH4" s="605"/>
      <c r="AHI4" s="605"/>
      <c r="AHJ4" s="605"/>
      <c r="AHK4" s="605"/>
      <c r="AHL4" s="605"/>
      <c r="AHM4" s="605"/>
      <c r="AHN4" s="605"/>
      <c r="AHO4" s="605"/>
      <c r="AHP4" s="605"/>
      <c r="AHQ4" s="605"/>
      <c r="AHR4" s="605"/>
      <c r="AHS4" s="605"/>
      <c r="AHT4" s="605"/>
      <c r="AHU4" s="605"/>
      <c r="AHV4" s="605"/>
      <c r="AHW4" s="605"/>
      <c r="AHX4" s="605"/>
      <c r="AHY4" s="605"/>
      <c r="AHZ4" s="605"/>
      <c r="AIA4" s="605"/>
      <c r="AIB4" s="605"/>
      <c r="AIC4" s="605"/>
      <c r="AID4" s="605"/>
      <c r="AIE4" s="605"/>
      <c r="AIF4" s="605"/>
      <c r="AIG4" s="605"/>
      <c r="AIH4" s="605"/>
      <c r="AII4" s="605"/>
      <c r="AIJ4" s="605"/>
      <c r="AIK4" s="605"/>
      <c r="AIL4" s="605"/>
      <c r="AIM4" s="605"/>
      <c r="AIN4" s="605"/>
      <c r="AIO4" s="605"/>
      <c r="AIP4" s="605"/>
      <c r="AIQ4" s="605"/>
      <c r="AIR4" s="605"/>
      <c r="AIS4" s="605"/>
      <c r="AIT4" s="605"/>
      <c r="AIU4" s="605"/>
      <c r="AIV4" s="605"/>
      <c r="AIW4" s="605"/>
      <c r="AIX4" s="605"/>
      <c r="AIY4" s="605"/>
      <c r="AIZ4" s="605"/>
      <c r="AJA4" s="605"/>
      <c r="AJB4" s="605"/>
      <c r="AJC4" s="605"/>
      <c r="AJD4" s="605"/>
      <c r="AJE4" s="605"/>
      <c r="AJF4" s="605"/>
      <c r="AJG4" s="605"/>
      <c r="AJH4" s="605"/>
      <c r="AJI4" s="605"/>
      <c r="AJJ4" s="605"/>
      <c r="AJK4" s="605"/>
      <c r="AJL4" s="605"/>
      <c r="AJM4" s="605"/>
      <c r="AJN4" s="605"/>
      <c r="AJO4" s="605"/>
    </row>
    <row r="5" spans="1:951" x14ac:dyDescent="0.25">
      <c r="A5" s="91" t="s">
        <v>7</v>
      </c>
      <c r="B5" s="96">
        <v>0</v>
      </c>
      <c r="C5" s="96">
        <v>2961516.88</v>
      </c>
      <c r="D5" s="96">
        <v>6555872.1919999998</v>
      </c>
      <c r="E5" s="96">
        <v>4651665</v>
      </c>
      <c r="F5" s="96">
        <v>9285561</v>
      </c>
      <c r="G5" s="96">
        <v>814245</v>
      </c>
      <c r="H5" s="96">
        <v>600904</v>
      </c>
      <c r="I5" s="96">
        <v>498263.52100000001</v>
      </c>
      <c r="J5" s="96">
        <v>507356</v>
      </c>
      <c r="K5" s="96"/>
      <c r="L5" s="96">
        <v>1723624.514</v>
      </c>
      <c r="M5" s="96">
        <v>1440451.2350000001</v>
      </c>
      <c r="N5" s="96">
        <v>1791943.834</v>
      </c>
      <c r="O5" s="96">
        <v>3569355</v>
      </c>
      <c r="P5" s="96">
        <v>4950407</v>
      </c>
      <c r="Q5" s="96">
        <v>0</v>
      </c>
      <c r="R5" s="96">
        <v>650021.98</v>
      </c>
      <c r="S5" s="96">
        <v>797691</v>
      </c>
      <c r="T5" s="96">
        <v>1020225</v>
      </c>
      <c r="U5" s="96">
        <v>452656</v>
      </c>
      <c r="V5" s="96">
        <v>0</v>
      </c>
      <c r="W5" s="96">
        <v>0</v>
      </c>
      <c r="X5" s="96">
        <v>350294</v>
      </c>
      <c r="Y5" s="96">
        <v>399507</v>
      </c>
      <c r="Z5" s="96">
        <v>474003</v>
      </c>
      <c r="AA5" s="96">
        <v>0</v>
      </c>
      <c r="AB5" s="96">
        <v>201638.31200000001</v>
      </c>
      <c r="AC5" s="96">
        <v>247749.14799999999</v>
      </c>
      <c r="AD5" s="96">
        <v>338568</v>
      </c>
      <c r="AE5" s="96">
        <v>333525</v>
      </c>
      <c r="AF5" s="96">
        <v>577051.34</v>
      </c>
      <c r="AG5" s="96">
        <v>928466.85699999996</v>
      </c>
      <c r="AH5" s="96">
        <v>1058323.8130000001</v>
      </c>
      <c r="AI5" s="96">
        <v>1164315</v>
      </c>
      <c r="AJ5" s="96">
        <v>357525</v>
      </c>
      <c r="AK5" s="96">
        <v>0</v>
      </c>
      <c r="AL5" s="96">
        <v>404878.93300000002</v>
      </c>
      <c r="AM5" s="96">
        <v>289136.65399999998</v>
      </c>
      <c r="AN5" s="96">
        <v>222902</v>
      </c>
      <c r="AO5" s="96">
        <v>398318</v>
      </c>
      <c r="AP5" s="96">
        <v>0</v>
      </c>
      <c r="AQ5" s="96">
        <v>125120</v>
      </c>
      <c r="AR5" s="96">
        <v>99410</v>
      </c>
      <c r="AS5" s="96">
        <v>194993</v>
      </c>
      <c r="AT5" s="96">
        <v>36862</v>
      </c>
      <c r="AU5" s="96">
        <v>1140941</v>
      </c>
      <c r="AV5" s="96">
        <v>782289</v>
      </c>
      <c r="AW5" s="96">
        <v>643749</v>
      </c>
      <c r="AX5" s="96">
        <v>633530</v>
      </c>
      <c r="AY5" s="96"/>
      <c r="AZ5" s="96">
        <v>389921.951</v>
      </c>
      <c r="BA5" s="96">
        <v>458834.04499999998</v>
      </c>
      <c r="BB5" s="96">
        <v>433623.05</v>
      </c>
      <c r="BC5" s="96">
        <v>904445</v>
      </c>
      <c r="BD5" s="96">
        <v>677840</v>
      </c>
      <c r="BE5" s="96">
        <v>0</v>
      </c>
      <c r="BF5" s="96">
        <v>526227.505</v>
      </c>
      <c r="BG5" s="96">
        <v>425010.71</v>
      </c>
      <c r="BH5" s="96">
        <v>570040</v>
      </c>
      <c r="BI5" s="96">
        <v>639708</v>
      </c>
      <c r="BJ5" s="96"/>
      <c r="BK5" s="96"/>
      <c r="BL5" s="96"/>
      <c r="BM5" s="96"/>
      <c r="BN5" s="96">
        <v>1142144</v>
      </c>
      <c r="BO5" s="96"/>
      <c r="BP5" s="96"/>
      <c r="BQ5" s="96">
        <v>60790</v>
      </c>
      <c r="BR5" s="96">
        <v>685441</v>
      </c>
      <c r="BS5" s="96">
        <v>761480</v>
      </c>
      <c r="BT5" s="96">
        <v>226021.758</v>
      </c>
      <c r="BU5" s="96">
        <v>479574.815</v>
      </c>
      <c r="BV5" s="96">
        <v>629011</v>
      </c>
      <c r="BW5" s="96">
        <v>828090</v>
      </c>
      <c r="BX5" s="96">
        <v>709392</v>
      </c>
      <c r="BY5" s="96">
        <v>0</v>
      </c>
      <c r="BZ5" s="96">
        <v>1573995.7569999998</v>
      </c>
      <c r="CA5" s="96">
        <v>1040252.8419999999</v>
      </c>
      <c r="CB5" s="96">
        <v>1986944</v>
      </c>
      <c r="CC5" s="96">
        <v>2707975</v>
      </c>
      <c r="CD5" s="96">
        <v>38052.256999999998</v>
      </c>
      <c r="CE5" s="96">
        <v>67284.652000000002</v>
      </c>
      <c r="CF5" s="96">
        <v>65689.548999999999</v>
      </c>
      <c r="CG5" s="96">
        <v>75552</v>
      </c>
      <c r="CH5" s="96">
        <v>109574</v>
      </c>
      <c r="CI5" s="96">
        <v>0</v>
      </c>
      <c r="CJ5" s="96">
        <v>0</v>
      </c>
      <c r="CK5" s="96">
        <v>547.63499999999999</v>
      </c>
      <c r="CL5" s="96">
        <v>666316</v>
      </c>
      <c r="CM5" s="96"/>
      <c r="CN5" s="96">
        <v>0</v>
      </c>
      <c r="CO5" s="96">
        <v>115361.84599999999</v>
      </c>
      <c r="CP5" s="96">
        <v>334020.95600000001</v>
      </c>
      <c r="CQ5" s="96">
        <v>620875</v>
      </c>
      <c r="CR5" s="96">
        <v>806083</v>
      </c>
      <c r="CS5" s="96">
        <v>0</v>
      </c>
      <c r="CT5" s="96">
        <v>65792.883000000002</v>
      </c>
      <c r="CU5" s="96">
        <v>77203</v>
      </c>
      <c r="CV5" s="96">
        <v>317579</v>
      </c>
      <c r="CW5" s="96">
        <v>43363</v>
      </c>
      <c r="CX5" s="96">
        <v>0</v>
      </c>
      <c r="CY5" s="96">
        <v>220307.48300000001</v>
      </c>
      <c r="CZ5" s="96">
        <v>226167.24799999999</v>
      </c>
      <c r="DA5" s="96">
        <v>231596</v>
      </c>
      <c r="DB5" s="96">
        <v>236515</v>
      </c>
      <c r="DC5" s="96">
        <v>82872</v>
      </c>
      <c r="DD5" s="96">
        <v>43247</v>
      </c>
      <c r="DE5" s="96">
        <v>50340</v>
      </c>
      <c r="DF5" s="96">
        <v>205900</v>
      </c>
      <c r="DG5" s="96">
        <v>87647</v>
      </c>
      <c r="DH5" s="96">
        <v>0</v>
      </c>
      <c r="DI5" s="96">
        <v>0</v>
      </c>
      <c r="DJ5" s="96"/>
      <c r="DK5" s="96"/>
      <c r="DL5" s="96">
        <v>698238</v>
      </c>
      <c r="DM5" s="102">
        <v>2713442</v>
      </c>
      <c r="DN5" s="96">
        <v>2430622</v>
      </c>
      <c r="DO5" s="96">
        <v>3278045</v>
      </c>
      <c r="DP5" s="96">
        <v>4703868</v>
      </c>
      <c r="DQ5" s="96">
        <v>4387679</v>
      </c>
      <c r="DR5" s="96">
        <v>59909065.762000002</v>
      </c>
      <c r="DS5" s="96">
        <v>65104632.159999996</v>
      </c>
      <c r="DT5" s="96">
        <v>130966516.411</v>
      </c>
      <c r="DU5" s="96">
        <v>166942600</v>
      </c>
      <c r="DV5" s="96">
        <v>205232199</v>
      </c>
      <c r="DW5" s="96">
        <v>250384.424</v>
      </c>
      <c r="DX5" s="96">
        <v>165989.092</v>
      </c>
      <c r="DY5" s="96">
        <v>393299.09899999999</v>
      </c>
      <c r="DZ5" s="96">
        <v>582893</v>
      </c>
      <c r="EA5" s="96">
        <v>506653</v>
      </c>
      <c r="EB5" s="96"/>
      <c r="EC5" s="96"/>
      <c r="ED5" s="96"/>
      <c r="EE5" s="96"/>
      <c r="EF5" s="96">
        <v>932970</v>
      </c>
      <c r="EG5" s="96"/>
      <c r="EH5" s="96"/>
      <c r="EI5" s="96"/>
      <c r="EJ5" s="96">
        <v>872200</v>
      </c>
      <c r="EK5" s="96">
        <v>2129220</v>
      </c>
      <c r="EL5" s="96"/>
      <c r="EM5" s="96"/>
      <c r="EN5" s="96"/>
      <c r="EO5" s="96">
        <v>23507</v>
      </c>
      <c r="EP5" s="96">
        <v>428576</v>
      </c>
      <c r="EQ5" s="96"/>
      <c r="ER5" s="96"/>
      <c r="ES5" s="96"/>
      <c r="ET5" s="96"/>
      <c r="EU5" s="96">
        <v>692318</v>
      </c>
      <c r="EV5" s="96">
        <v>370112</v>
      </c>
      <c r="EW5" s="96">
        <v>423404</v>
      </c>
      <c r="EX5" s="96">
        <v>4950407</v>
      </c>
      <c r="EY5" s="96">
        <v>4293106</v>
      </c>
      <c r="EZ5" s="96">
        <v>452656</v>
      </c>
      <c r="FA5" s="96">
        <v>598844</v>
      </c>
      <c r="FB5" s="96">
        <v>333525</v>
      </c>
      <c r="FC5" s="96">
        <v>242465</v>
      </c>
      <c r="FD5" s="96">
        <v>357525</v>
      </c>
      <c r="FE5" s="96">
        <v>526542</v>
      </c>
      <c r="FF5" s="96">
        <v>398318</v>
      </c>
      <c r="FG5" s="96">
        <v>180327</v>
      </c>
      <c r="FH5" s="96">
        <v>36862</v>
      </c>
      <c r="FI5" s="96"/>
      <c r="FJ5" s="96"/>
      <c r="FK5" s="96"/>
      <c r="FL5" s="96"/>
      <c r="FM5" s="96">
        <v>740433</v>
      </c>
      <c r="FN5" s="96">
        <v>761480</v>
      </c>
      <c r="FO5" s="96">
        <v>693831</v>
      </c>
      <c r="FP5" s="96">
        <v>639708</v>
      </c>
      <c r="FQ5" s="96">
        <v>761413</v>
      </c>
      <c r="FR5" s="96">
        <v>709392</v>
      </c>
      <c r="FS5" s="96"/>
      <c r="FT5" s="96">
        <v>677840</v>
      </c>
      <c r="FU5" s="96">
        <v>752995</v>
      </c>
      <c r="FV5" s="96">
        <v>2707975</v>
      </c>
      <c r="FW5" s="96">
        <v>2008442</v>
      </c>
      <c r="FX5" s="96">
        <v>932970</v>
      </c>
      <c r="FY5" s="96">
        <v>888024</v>
      </c>
      <c r="FZ5" s="96">
        <v>474003</v>
      </c>
      <c r="GA5" s="96">
        <v>882383</v>
      </c>
      <c r="GB5" s="96">
        <v>1142144</v>
      </c>
      <c r="GC5" s="96">
        <v>260708</v>
      </c>
      <c r="GD5" s="96">
        <v>109574</v>
      </c>
      <c r="GE5" s="96">
        <v>130192</v>
      </c>
      <c r="GF5" s="96"/>
      <c r="GG5" s="96"/>
      <c r="GH5" s="96">
        <v>806083</v>
      </c>
      <c r="GI5" s="96">
        <v>802957</v>
      </c>
      <c r="GJ5" s="96">
        <v>645356</v>
      </c>
      <c r="GK5" s="96">
        <v>646016</v>
      </c>
      <c r="GL5" s="96">
        <v>5296496</v>
      </c>
      <c r="GM5" s="96">
        <v>5948001</v>
      </c>
      <c r="GN5" s="96">
        <v>3069483</v>
      </c>
      <c r="GO5" s="96">
        <v>3426161</v>
      </c>
      <c r="GP5" s="96">
        <v>776930</v>
      </c>
      <c r="GQ5" s="96">
        <v>812260</v>
      </c>
      <c r="GR5" s="96"/>
      <c r="GS5" s="96"/>
      <c r="GT5" s="96">
        <v>1071913</v>
      </c>
      <c r="GU5" s="96">
        <v>1002185</v>
      </c>
      <c r="GV5" s="96"/>
      <c r="GW5" s="96">
        <v>265315</v>
      </c>
      <c r="GX5" s="96">
        <v>743804</v>
      </c>
      <c r="GY5" s="96">
        <v>793649</v>
      </c>
      <c r="GZ5" s="96">
        <v>44590243</v>
      </c>
      <c r="HA5" s="96">
        <v>40879391</v>
      </c>
      <c r="HB5" s="96">
        <v>1865679</v>
      </c>
      <c r="HC5" s="96">
        <v>1971227</v>
      </c>
      <c r="HD5" s="96">
        <v>81146</v>
      </c>
      <c r="HE5" s="96">
        <v>417367</v>
      </c>
      <c r="HF5" s="96">
        <v>4720634</v>
      </c>
      <c r="HG5" s="96">
        <v>4891569</v>
      </c>
      <c r="HH5" s="96">
        <v>51096603</v>
      </c>
      <c r="HI5" s="96">
        <v>67843042</v>
      </c>
      <c r="HJ5" s="96">
        <v>4204659</v>
      </c>
      <c r="HK5" s="96">
        <v>4514407</v>
      </c>
      <c r="HL5" s="96">
        <v>1699207</v>
      </c>
      <c r="HM5" s="96">
        <v>6467234</v>
      </c>
      <c r="HN5" s="96">
        <v>768732</v>
      </c>
      <c r="HO5" s="96">
        <v>728084</v>
      </c>
      <c r="HP5" s="96">
        <v>697338</v>
      </c>
      <c r="HQ5" s="96">
        <v>808701</v>
      </c>
      <c r="HR5" s="96">
        <v>995755</v>
      </c>
      <c r="HS5" s="96">
        <v>1646960</v>
      </c>
      <c r="HT5" s="96">
        <v>2129220</v>
      </c>
      <c r="HU5" s="96"/>
      <c r="HV5" s="96">
        <v>428576</v>
      </c>
      <c r="HW5" s="96">
        <v>630481</v>
      </c>
      <c r="HX5" s="96">
        <v>5034551</v>
      </c>
      <c r="HY5" s="96">
        <v>5903037</v>
      </c>
      <c r="HZ5" s="96">
        <v>5649991</v>
      </c>
      <c r="IA5" s="96">
        <v>5059817</v>
      </c>
      <c r="IB5" s="96">
        <v>810266</v>
      </c>
      <c r="IC5" s="96">
        <v>1250552</v>
      </c>
      <c r="ID5" s="96">
        <v>8518670</v>
      </c>
      <c r="IE5" s="96">
        <v>8305393</v>
      </c>
      <c r="IF5" s="96">
        <v>2069495</v>
      </c>
      <c r="IG5" s="96">
        <v>2943738</v>
      </c>
      <c r="IH5" s="96">
        <v>373864</v>
      </c>
      <c r="II5" s="96">
        <v>426048</v>
      </c>
      <c r="IJ5" s="96">
        <v>3660751</v>
      </c>
      <c r="IK5" s="96">
        <v>4116676</v>
      </c>
      <c r="IL5" s="96">
        <v>692318</v>
      </c>
      <c r="IM5" s="96">
        <v>1696554</v>
      </c>
      <c r="IN5" s="96"/>
      <c r="IO5" s="96"/>
      <c r="IP5" s="96">
        <v>236515</v>
      </c>
      <c r="IQ5" s="96">
        <v>242096</v>
      </c>
      <c r="IR5" s="96">
        <v>87647</v>
      </c>
      <c r="IS5" s="96">
        <v>78896</v>
      </c>
      <c r="IT5" s="96">
        <v>698238</v>
      </c>
      <c r="IU5" s="96">
        <v>617036</v>
      </c>
      <c r="IV5" s="96">
        <v>4387679</v>
      </c>
      <c r="IW5" s="96">
        <v>3200712</v>
      </c>
      <c r="IX5" s="96">
        <v>205232199</v>
      </c>
      <c r="IY5" s="96">
        <v>220462836</v>
      </c>
      <c r="IZ5" s="96">
        <v>506653</v>
      </c>
      <c r="JA5" s="96">
        <v>618103</v>
      </c>
      <c r="JB5" s="96">
        <v>423404</v>
      </c>
      <c r="JC5" s="96">
        <v>501844</v>
      </c>
      <c r="JD5" s="96">
        <v>4293106</v>
      </c>
      <c r="JE5" s="96">
        <v>6038670</v>
      </c>
      <c r="JF5" s="96">
        <v>598844</v>
      </c>
      <c r="JG5" s="96">
        <v>560660</v>
      </c>
      <c r="JH5" s="96">
        <v>242465</v>
      </c>
      <c r="JI5" s="96">
        <v>1148284</v>
      </c>
      <c r="JJ5" s="96">
        <v>526542</v>
      </c>
      <c r="JK5" s="96">
        <v>403473</v>
      </c>
      <c r="JL5" s="96">
        <v>180327</v>
      </c>
      <c r="JM5" s="96">
        <v>163216</v>
      </c>
      <c r="JN5" s="96">
        <v>52067</v>
      </c>
      <c r="JO5" s="96"/>
      <c r="JP5" s="96"/>
      <c r="JQ5" s="96"/>
      <c r="JR5" s="96">
        <v>740433</v>
      </c>
      <c r="JS5" s="96">
        <v>797438</v>
      </c>
      <c r="JT5" s="96">
        <v>693831</v>
      </c>
      <c r="JU5" s="96">
        <v>748414</v>
      </c>
      <c r="JV5" s="96">
        <v>761413</v>
      </c>
      <c r="JW5" s="96">
        <v>871180</v>
      </c>
      <c r="JX5" s="96"/>
      <c r="JY5" s="96"/>
      <c r="JZ5" s="96">
        <v>752995</v>
      </c>
      <c r="KA5" s="96">
        <v>896060</v>
      </c>
      <c r="KB5" s="96">
        <v>2008442</v>
      </c>
      <c r="KC5" s="96">
        <v>2023767</v>
      </c>
      <c r="KD5" s="96">
        <v>888024</v>
      </c>
      <c r="KE5" s="96">
        <v>592577</v>
      </c>
      <c r="KF5" s="96">
        <v>882383</v>
      </c>
      <c r="KG5" s="96">
        <v>734475</v>
      </c>
      <c r="KH5" s="96">
        <v>260708</v>
      </c>
      <c r="KI5" s="96"/>
      <c r="KJ5" s="96">
        <v>130192</v>
      </c>
      <c r="KK5" s="96">
        <v>78191</v>
      </c>
      <c r="KL5" s="96">
        <v>558176</v>
      </c>
      <c r="KM5" s="96">
        <v>534232</v>
      </c>
      <c r="KN5" s="96">
        <v>802957</v>
      </c>
      <c r="KO5" s="96">
        <v>525949</v>
      </c>
      <c r="KP5" s="96">
        <v>646016</v>
      </c>
      <c r="KQ5" s="96"/>
      <c r="KR5" s="96">
        <v>5948001</v>
      </c>
      <c r="KS5" s="96">
        <v>7091306</v>
      </c>
      <c r="KT5" s="96">
        <v>3426161</v>
      </c>
      <c r="KU5" s="96">
        <v>5221382</v>
      </c>
      <c r="KV5" s="96">
        <v>884250</v>
      </c>
      <c r="KW5" s="96"/>
      <c r="KX5" s="96">
        <v>2556</v>
      </c>
      <c r="KY5" s="96"/>
      <c r="KZ5" s="96">
        <v>1002185</v>
      </c>
      <c r="LA5" s="96">
        <v>853948</v>
      </c>
      <c r="LB5" s="96">
        <v>265315</v>
      </c>
      <c r="LC5" s="96">
        <v>275178</v>
      </c>
      <c r="LD5" s="96">
        <v>793649</v>
      </c>
      <c r="LE5" s="96">
        <v>856377</v>
      </c>
      <c r="LF5" s="96">
        <v>40879391</v>
      </c>
      <c r="LG5" s="96">
        <v>28795809</v>
      </c>
      <c r="LH5" s="96">
        <v>1971227</v>
      </c>
      <c r="LI5" s="96">
        <v>2456757</v>
      </c>
      <c r="LJ5" s="96">
        <v>417367</v>
      </c>
      <c r="LK5" s="96">
        <v>547439</v>
      </c>
      <c r="LL5" s="96">
        <v>4891569</v>
      </c>
      <c r="LM5" s="96">
        <v>1214255</v>
      </c>
      <c r="LN5" s="96">
        <v>67843042</v>
      </c>
      <c r="LO5" s="96">
        <v>60664680</v>
      </c>
      <c r="LP5" s="96">
        <v>4514407</v>
      </c>
      <c r="LQ5" s="96">
        <v>3004209</v>
      </c>
      <c r="LR5" s="96">
        <v>6467234</v>
      </c>
      <c r="LS5" s="96">
        <v>10703000</v>
      </c>
      <c r="LT5" s="96">
        <v>728084</v>
      </c>
      <c r="LU5" s="96">
        <v>434409</v>
      </c>
      <c r="LV5" s="96">
        <v>808701</v>
      </c>
      <c r="LW5" s="96">
        <v>811892</v>
      </c>
      <c r="LX5" s="96">
        <v>1646960</v>
      </c>
      <c r="LY5" s="96">
        <v>3704639</v>
      </c>
      <c r="LZ5" s="96"/>
      <c r="MA5" s="96"/>
      <c r="MB5" s="96">
        <v>630481</v>
      </c>
      <c r="MC5" s="96">
        <v>90271</v>
      </c>
      <c r="MD5" s="96">
        <v>5903037</v>
      </c>
      <c r="ME5" s="96">
        <v>3271474</v>
      </c>
      <c r="MF5" s="96">
        <v>5059817</v>
      </c>
      <c r="MG5" s="96">
        <v>7402857</v>
      </c>
      <c r="MH5" s="96">
        <v>1250552</v>
      </c>
      <c r="MI5" s="96">
        <v>1519959</v>
      </c>
      <c r="MJ5" s="96">
        <v>8305393</v>
      </c>
      <c r="MK5" s="96">
        <v>12559163</v>
      </c>
      <c r="ML5" s="96">
        <v>2943738</v>
      </c>
      <c r="MM5" s="96">
        <v>4751900</v>
      </c>
      <c r="MN5" s="96">
        <v>426048</v>
      </c>
      <c r="MO5" s="96">
        <v>297792</v>
      </c>
      <c r="MP5" s="96">
        <v>4116676</v>
      </c>
      <c r="MQ5" s="96">
        <v>4978286</v>
      </c>
      <c r="MR5" s="96">
        <v>1696554</v>
      </c>
      <c r="MS5" s="96">
        <v>3082167</v>
      </c>
      <c r="MT5" s="96">
        <v>106445</v>
      </c>
      <c r="MU5" s="96">
        <v>106445</v>
      </c>
      <c r="MV5" s="96">
        <v>242096</v>
      </c>
      <c r="MW5" s="96">
        <v>259610</v>
      </c>
      <c r="MX5" s="96">
        <v>78896</v>
      </c>
      <c r="MY5" s="96">
        <v>25831</v>
      </c>
      <c r="MZ5" s="96">
        <v>617036</v>
      </c>
      <c r="NA5" s="96">
        <v>681640</v>
      </c>
      <c r="NB5" s="96">
        <v>3200712</v>
      </c>
      <c r="NC5" s="96">
        <v>3209139</v>
      </c>
      <c r="ND5" s="96">
        <v>220462836</v>
      </c>
      <c r="NE5" s="96">
        <v>212745194</v>
      </c>
      <c r="NF5" s="96">
        <v>618103</v>
      </c>
      <c r="NG5" s="96">
        <v>703187</v>
      </c>
      <c r="NH5" s="391">
        <v>501844</v>
      </c>
      <c r="NI5" s="391">
        <v>627413</v>
      </c>
      <c r="NJ5" s="391">
        <v>6293658</v>
      </c>
      <c r="NK5" s="391">
        <v>9132257</v>
      </c>
      <c r="NL5" s="391">
        <v>560660</v>
      </c>
      <c r="NM5" s="391">
        <v>223953</v>
      </c>
      <c r="NN5" s="391">
        <v>1078118</v>
      </c>
      <c r="NO5" s="391">
        <v>1001907</v>
      </c>
      <c r="NP5" s="391">
        <v>403473</v>
      </c>
      <c r="NQ5" s="391">
        <v>537117</v>
      </c>
      <c r="NR5" s="391">
        <v>163216</v>
      </c>
      <c r="NS5" s="391">
        <v>192779</v>
      </c>
      <c r="NT5" s="391">
        <v>52067</v>
      </c>
      <c r="NU5" s="391"/>
      <c r="NV5" s="391"/>
      <c r="NW5" s="391"/>
      <c r="NX5" s="391">
        <v>797438</v>
      </c>
      <c r="NY5" s="391">
        <v>840914</v>
      </c>
      <c r="NZ5" s="391">
        <v>514804</v>
      </c>
      <c r="OA5" s="391">
        <v>659823</v>
      </c>
      <c r="OB5" s="391">
        <v>871180</v>
      </c>
      <c r="OC5" s="391">
        <v>1055856</v>
      </c>
      <c r="OD5" s="391"/>
      <c r="OE5" s="391"/>
      <c r="OF5" s="391">
        <v>896060</v>
      </c>
      <c r="OG5" s="391">
        <v>943956</v>
      </c>
      <c r="OH5" s="391">
        <v>2023767</v>
      </c>
      <c r="OI5" s="391">
        <f>13716+856988+725065+246701+77327</f>
        <v>1919797</v>
      </c>
      <c r="OJ5" s="391">
        <v>592577</v>
      </c>
      <c r="OK5" s="391">
        <v>491378</v>
      </c>
      <c r="OL5" s="391">
        <v>734475</v>
      </c>
      <c r="OM5" s="391">
        <v>237616</v>
      </c>
      <c r="ON5" s="391"/>
      <c r="OO5" s="391">
        <v>118724</v>
      </c>
      <c r="OP5" s="391">
        <v>78191</v>
      </c>
      <c r="OQ5" s="391">
        <v>22066</v>
      </c>
      <c r="OR5" s="391">
        <v>534232</v>
      </c>
      <c r="OS5" s="391"/>
      <c r="OT5" s="391">
        <v>525949</v>
      </c>
      <c r="OU5" s="391">
        <v>314089</v>
      </c>
      <c r="OV5" s="391"/>
      <c r="OW5" s="391">
        <v>651587</v>
      </c>
      <c r="OX5" s="391">
        <v>7091306</v>
      </c>
      <c r="OY5" s="391">
        <v>11081653</v>
      </c>
      <c r="OZ5" s="391">
        <v>5221382</v>
      </c>
      <c r="PA5" s="391">
        <v>1024634</v>
      </c>
      <c r="PB5" s="391">
        <v>848856</v>
      </c>
      <c r="PC5" s="391">
        <v>860973</v>
      </c>
      <c r="PD5" s="391"/>
      <c r="PE5" s="391"/>
      <c r="PF5" s="391">
        <v>853948</v>
      </c>
      <c r="PG5" s="391">
        <v>716686</v>
      </c>
      <c r="PH5" s="391">
        <v>275178</v>
      </c>
      <c r="PI5" s="391"/>
      <c r="PJ5" s="391">
        <v>856377</v>
      </c>
      <c r="PK5" s="391">
        <v>920867</v>
      </c>
      <c r="PL5" s="391">
        <v>30574286</v>
      </c>
      <c r="PM5" s="391">
        <v>32998228</v>
      </c>
      <c r="PN5" s="391">
        <v>2458505</v>
      </c>
      <c r="PO5" s="391">
        <v>2921964</v>
      </c>
      <c r="PP5" s="391">
        <v>547439</v>
      </c>
      <c r="PQ5" s="391">
        <v>657660</v>
      </c>
      <c r="PR5" s="391">
        <v>1214255</v>
      </c>
      <c r="PS5" s="391">
        <v>663555</v>
      </c>
      <c r="PT5" s="391">
        <v>58814075</v>
      </c>
      <c r="PU5" s="391">
        <v>69526017</v>
      </c>
      <c r="PV5" s="391">
        <v>4514407</v>
      </c>
      <c r="PW5" s="391">
        <v>3004209</v>
      </c>
      <c r="PX5" s="391">
        <v>9971000</v>
      </c>
      <c r="PY5" s="391">
        <v>27545000</v>
      </c>
      <c r="PZ5" s="391">
        <v>434409</v>
      </c>
      <c r="QA5" s="391">
        <v>498194</v>
      </c>
      <c r="QB5" s="391">
        <v>811892</v>
      </c>
      <c r="QC5" s="391">
        <v>1722372</v>
      </c>
      <c r="QD5" s="391">
        <v>3704639</v>
      </c>
      <c r="QE5" s="391">
        <v>3857608</v>
      </c>
      <c r="QF5" s="391"/>
      <c r="QG5" s="391"/>
      <c r="QH5" s="391">
        <v>90271</v>
      </c>
      <c r="QI5" s="391">
        <f>22573+94845</f>
        <v>117418</v>
      </c>
      <c r="QJ5" s="391">
        <v>3271474</v>
      </c>
      <c r="QK5" s="391">
        <v>3628643</v>
      </c>
      <c r="QL5" s="391">
        <v>7402857</v>
      </c>
      <c r="QM5" s="391">
        <v>7804413</v>
      </c>
      <c r="QN5" s="391">
        <v>1250552</v>
      </c>
      <c r="QO5" s="391">
        <v>1519959</v>
      </c>
      <c r="QP5" s="391">
        <v>8305393</v>
      </c>
      <c r="QQ5" s="391">
        <v>14654912</v>
      </c>
      <c r="QR5" s="391">
        <v>4751900</v>
      </c>
      <c r="QS5" s="391">
        <v>3211239</v>
      </c>
      <c r="QT5" s="391">
        <v>297792</v>
      </c>
      <c r="QU5" s="391">
        <v>322599</v>
      </c>
      <c r="QV5" s="391">
        <v>4116676</v>
      </c>
      <c r="QW5" s="391">
        <v>4978286</v>
      </c>
      <c r="QX5" s="391">
        <v>2908759</v>
      </c>
      <c r="QY5" s="391">
        <v>2166135</v>
      </c>
      <c r="QZ5" s="391">
        <v>106445</v>
      </c>
      <c r="RA5" s="391">
        <v>106445</v>
      </c>
      <c r="RB5" s="391">
        <v>259610</v>
      </c>
      <c r="RC5" s="391">
        <v>212201</v>
      </c>
      <c r="RD5" s="391">
        <v>78896</v>
      </c>
      <c r="RE5" s="391">
        <f>241831-RE6</f>
        <v>25831</v>
      </c>
      <c r="RF5" s="391">
        <v>681640</v>
      </c>
      <c r="RG5" s="391"/>
      <c r="RH5" s="391">
        <v>3200712</v>
      </c>
      <c r="RI5" s="391">
        <v>3209139</v>
      </c>
      <c r="RJ5" s="391">
        <v>162382918</v>
      </c>
      <c r="RK5" s="391">
        <v>197617360</v>
      </c>
      <c r="RL5" s="391">
        <v>703187</v>
      </c>
      <c r="RM5" s="391">
        <v>901202</v>
      </c>
      <c r="RN5" s="96">
        <v>515097</v>
      </c>
      <c r="RO5" s="96">
        <v>519117</v>
      </c>
      <c r="RP5" s="96">
        <v>9308508</v>
      </c>
      <c r="RQ5" s="96">
        <v>7576203</v>
      </c>
      <c r="RR5" s="96">
        <v>223953</v>
      </c>
      <c r="RS5" s="96">
        <v>233934</v>
      </c>
      <c r="RT5" s="96">
        <v>956682</v>
      </c>
      <c r="RU5" s="96">
        <v>638298</v>
      </c>
      <c r="RV5" s="96">
        <v>537117</v>
      </c>
      <c r="RW5" s="96">
        <v>517025</v>
      </c>
      <c r="RX5" s="96">
        <v>106089</v>
      </c>
      <c r="RY5" s="96">
        <v>38106</v>
      </c>
      <c r="RZ5" s="96"/>
      <c r="SA5" s="96"/>
      <c r="SB5" s="96"/>
      <c r="SC5" s="96"/>
      <c r="SD5" s="96">
        <v>840914</v>
      </c>
      <c r="SE5" s="96">
        <v>543161</v>
      </c>
      <c r="SF5" s="96">
        <v>609306</v>
      </c>
      <c r="SG5" s="96">
        <v>618042</v>
      </c>
      <c r="SH5" s="96">
        <v>1055856</v>
      </c>
      <c r="SI5" s="96">
        <v>1179471</v>
      </c>
      <c r="SJ5" s="96"/>
      <c r="SK5" s="96"/>
      <c r="SL5" s="96">
        <v>943956</v>
      </c>
      <c r="SM5" s="96">
        <v>1038085</v>
      </c>
      <c r="SN5" s="96">
        <v>1919797</v>
      </c>
      <c r="SO5" s="96">
        <v>1642996</v>
      </c>
      <c r="SP5" s="96">
        <v>491378</v>
      </c>
      <c r="SQ5" s="96">
        <v>649701</v>
      </c>
      <c r="SR5" s="96">
        <v>234475</v>
      </c>
      <c r="SS5" s="96">
        <v>496946</v>
      </c>
      <c r="ST5" s="96">
        <v>118724</v>
      </c>
      <c r="SU5" s="96"/>
      <c r="SV5" s="96">
        <v>24454</v>
      </c>
      <c r="SW5" s="96">
        <v>140242</v>
      </c>
      <c r="SX5" s="96">
        <v>537472</v>
      </c>
      <c r="SY5" s="96">
        <v>715489</v>
      </c>
      <c r="SZ5" s="96">
        <v>255405</v>
      </c>
      <c r="TA5" s="96">
        <v>515816</v>
      </c>
      <c r="TB5" s="96">
        <v>651587</v>
      </c>
      <c r="TC5" s="96"/>
      <c r="TD5" s="96">
        <v>8631820</v>
      </c>
      <c r="TE5" s="96">
        <v>10326533</v>
      </c>
      <c r="TF5" s="96">
        <v>1021163</v>
      </c>
      <c r="TG5" s="96">
        <v>961865</v>
      </c>
      <c r="TH5" s="96">
        <v>847816</v>
      </c>
      <c r="TI5" s="96">
        <v>833644</v>
      </c>
      <c r="TJ5" s="96"/>
      <c r="TK5" s="96"/>
      <c r="TL5" s="96">
        <v>842761</v>
      </c>
      <c r="TM5" s="96">
        <v>1060124</v>
      </c>
      <c r="TN5" s="96"/>
      <c r="TO5" s="96">
        <v>418012</v>
      </c>
      <c r="TP5" s="96">
        <v>851958</v>
      </c>
      <c r="TQ5" s="96">
        <v>554381</v>
      </c>
      <c r="TR5" s="96">
        <v>32998228</v>
      </c>
      <c r="TS5" s="96">
        <v>24170795</v>
      </c>
      <c r="TT5" s="96">
        <v>2921964</v>
      </c>
      <c r="TU5" s="96">
        <v>2468143</v>
      </c>
      <c r="TV5" s="96">
        <v>466695000</v>
      </c>
      <c r="TW5" s="96">
        <v>411107000</v>
      </c>
      <c r="TX5" s="96">
        <v>663555</v>
      </c>
      <c r="TY5" s="96">
        <v>701819</v>
      </c>
      <c r="TZ5" s="96">
        <v>69526017</v>
      </c>
      <c r="UA5" s="96">
        <v>82845100</v>
      </c>
      <c r="UB5" s="96">
        <v>3004209</v>
      </c>
      <c r="UC5" s="96"/>
      <c r="UD5" s="96">
        <v>27545000</v>
      </c>
      <c r="UE5" s="96">
        <v>18002000</v>
      </c>
      <c r="UF5" s="96">
        <v>498194</v>
      </c>
      <c r="UG5" s="96">
        <v>1055499</v>
      </c>
      <c r="UH5" s="96">
        <v>1722372</v>
      </c>
      <c r="UI5" s="96">
        <v>2154457</v>
      </c>
      <c r="UJ5" s="96">
        <v>2560550</v>
      </c>
      <c r="UK5" s="96">
        <v>2282611</v>
      </c>
      <c r="UL5" s="96"/>
      <c r="UM5" s="96"/>
      <c r="UN5" s="96">
        <v>117418</v>
      </c>
      <c r="UO5" s="96">
        <v>138002</v>
      </c>
      <c r="UP5" s="96">
        <v>1513679</v>
      </c>
      <c r="UQ5" s="96">
        <v>1420650</v>
      </c>
      <c r="UR5" s="96">
        <v>7804413</v>
      </c>
      <c r="US5" s="96">
        <v>17438880</v>
      </c>
      <c r="UT5" s="96">
        <v>1519959</v>
      </c>
      <c r="UU5" s="96"/>
      <c r="UV5" s="96">
        <v>14654912</v>
      </c>
      <c r="UW5" s="96">
        <v>15348631</v>
      </c>
      <c r="UX5" s="96">
        <v>3194827</v>
      </c>
      <c r="UY5" s="96">
        <v>2624786</v>
      </c>
      <c r="UZ5" s="96">
        <v>322599</v>
      </c>
      <c r="VA5" s="96">
        <v>266995</v>
      </c>
      <c r="VB5" s="96">
        <v>1208779</v>
      </c>
      <c r="VC5" s="96">
        <v>1360349</v>
      </c>
      <c r="VD5" s="96">
        <v>2126158</v>
      </c>
      <c r="VE5" s="96">
        <v>1224680</v>
      </c>
      <c r="VF5" s="96">
        <v>106445</v>
      </c>
      <c r="VG5" s="96"/>
      <c r="VH5" s="96">
        <v>212201</v>
      </c>
      <c r="VI5" s="96">
        <v>220297</v>
      </c>
      <c r="VJ5" s="96">
        <v>17915</v>
      </c>
      <c r="VK5" s="96">
        <v>23971</v>
      </c>
      <c r="VL5" s="96"/>
      <c r="VM5" s="96">
        <v>366855</v>
      </c>
      <c r="VN5" s="96">
        <v>3209139</v>
      </c>
      <c r="VO5" s="96"/>
      <c r="VP5" s="96">
        <v>197617360</v>
      </c>
      <c r="VQ5" s="96">
        <v>176546148</v>
      </c>
      <c r="VR5" s="96">
        <v>901202</v>
      </c>
      <c r="VS5" s="96">
        <v>1224678</v>
      </c>
      <c r="VT5" s="96">
        <v>519117</v>
      </c>
      <c r="VU5" s="96">
        <v>665356</v>
      </c>
      <c r="VV5" s="96">
        <v>7708133</v>
      </c>
      <c r="VW5" s="96">
        <v>8295091</v>
      </c>
      <c r="VX5" s="96">
        <v>233934</v>
      </c>
      <c r="VY5" s="96">
        <v>382366</v>
      </c>
      <c r="VZ5" s="96">
        <v>638298</v>
      </c>
      <c r="WA5" s="96">
        <v>671384</v>
      </c>
      <c r="WB5" s="96">
        <v>517025</v>
      </c>
      <c r="WC5" s="96">
        <v>318803</v>
      </c>
      <c r="WD5" s="96">
        <v>38106</v>
      </c>
      <c r="WE5" s="96">
        <v>116444</v>
      </c>
      <c r="WF5" s="96"/>
      <c r="WG5" s="96"/>
      <c r="WH5" s="96"/>
      <c r="WI5" s="96"/>
      <c r="WJ5" s="96">
        <v>543161</v>
      </c>
      <c r="WK5" s="96">
        <v>514057</v>
      </c>
      <c r="WL5" s="96">
        <v>599098</v>
      </c>
      <c r="WM5" s="96">
        <v>487567</v>
      </c>
      <c r="WN5" s="96">
        <v>1179471</v>
      </c>
      <c r="WO5" s="96">
        <v>1859338</v>
      </c>
      <c r="WP5" s="96"/>
      <c r="WQ5" s="96"/>
      <c r="WR5" s="96">
        <v>954517</v>
      </c>
      <c r="WS5" s="96">
        <v>1167842</v>
      </c>
      <c r="WT5" s="96">
        <v>1642996</v>
      </c>
      <c r="WU5" s="96">
        <v>888631</v>
      </c>
      <c r="WV5" s="96">
        <v>649701</v>
      </c>
      <c r="WW5" s="96">
        <v>642610</v>
      </c>
      <c r="WX5" s="96">
        <v>496946</v>
      </c>
      <c r="WY5" s="96">
        <v>694119</v>
      </c>
      <c r="WZ5" s="96"/>
      <c r="XA5" s="96">
        <v>10507</v>
      </c>
      <c r="XB5" s="96">
        <v>140242</v>
      </c>
      <c r="XC5" s="96">
        <v>283989</v>
      </c>
      <c r="XD5" s="96">
        <v>916017</v>
      </c>
      <c r="XE5" s="96">
        <v>691951</v>
      </c>
      <c r="XF5" s="96">
        <v>515816</v>
      </c>
      <c r="XG5" s="96">
        <v>714732</v>
      </c>
      <c r="XH5" s="96">
        <v>44146</v>
      </c>
      <c r="XI5" s="96">
        <v>19877</v>
      </c>
      <c r="XJ5" s="96">
        <v>10326533</v>
      </c>
      <c r="XK5" s="96">
        <v>11635304</v>
      </c>
      <c r="XL5" s="96">
        <v>961865</v>
      </c>
      <c r="XM5" s="96">
        <v>926292</v>
      </c>
      <c r="XN5" s="96">
        <v>813155</v>
      </c>
      <c r="XO5" s="96">
        <v>783718</v>
      </c>
      <c r="XP5" s="96"/>
      <c r="XQ5" s="96"/>
      <c r="XR5" s="96">
        <v>1060124</v>
      </c>
      <c r="XS5" s="96">
        <v>1230019</v>
      </c>
      <c r="XT5" s="96">
        <v>418012</v>
      </c>
      <c r="XU5" s="96">
        <v>8560</v>
      </c>
      <c r="XV5" s="96">
        <v>554381</v>
      </c>
      <c r="XW5" s="96">
        <v>244505</v>
      </c>
      <c r="XX5" s="96">
        <v>24170795</v>
      </c>
      <c r="XY5" s="96">
        <v>24513288</v>
      </c>
      <c r="XZ5" s="96">
        <v>3033457</v>
      </c>
      <c r="YA5" s="96">
        <v>2625973</v>
      </c>
      <c r="YB5" s="96">
        <v>411107</v>
      </c>
      <c r="YC5" s="96">
        <v>712527</v>
      </c>
      <c r="YD5" s="96">
        <v>681848</v>
      </c>
      <c r="YE5" s="96">
        <v>1026227</v>
      </c>
      <c r="YF5" s="96">
        <v>82845100</v>
      </c>
      <c r="YG5" s="96">
        <v>70278587</v>
      </c>
      <c r="YH5" s="96"/>
      <c r="YI5" s="96"/>
      <c r="YJ5" s="96">
        <v>18002000</v>
      </c>
      <c r="YK5" s="96"/>
      <c r="YL5" s="96">
        <v>1055499091</v>
      </c>
      <c r="YM5" s="96">
        <v>1695313703</v>
      </c>
      <c r="YN5" s="96">
        <v>2154457</v>
      </c>
      <c r="YO5" s="96">
        <v>2081339</v>
      </c>
      <c r="YP5" s="96">
        <v>2282611</v>
      </c>
      <c r="YQ5" s="96">
        <v>3301658</v>
      </c>
      <c r="YR5" s="96"/>
      <c r="YS5" s="96"/>
      <c r="YT5" s="96">
        <v>138002</v>
      </c>
      <c r="YU5" s="96">
        <v>373823</v>
      </c>
      <c r="YV5" s="96">
        <v>1420650</v>
      </c>
      <c r="YW5" s="96">
        <v>1469551</v>
      </c>
      <c r="YX5" s="96">
        <v>17438880</v>
      </c>
      <c r="YY5" s="96">
        <v>17661354</v>
      </c>
      <c r="YZ5" s="96">
        <v>1067569</v>
      </c>
      <c r="ZA5" s="96">
        <v>1180939</v>
      </c>
      <c r="ZB5" s="96">
        <v>15348631</v>
      </c>
      <c r="ZC5" s="96">
        <v>14196040</v>
      </c>
      <c r="ZD5" s="96">
        <v>2624786</v>
      </c>
      <c r="ZE5" s="96">
        <v>1784530</v>
      </c>
      <c r="ZF5" s="96">
        <v>266995</v>
      </c>
      <c r="ZG5" s="96">
        <v>309230</v>
      </c>
      <c r="ZH5" s="96">
        <v>1360349</v>
      </c>
      <c r="ZI5" s="96">
        <v>4112954</v>
      </c>
      <c r="ZJ5" s="96">
        <v>1224680</v>
      </c>
      <c r="ZK5" s="96">
        <v>1216967</v>
      </c>
      <c r="ZL5" s="96"/>
      <c r="ZM5" s="96"/>
      <c r="ZN5" s="96">
        <v>220297</v>
      </c>
      <c r="ZO5" s="96">
        <v>229855</v>
      </c>
      <c r="ZP5" s="96">
        <v>23971</v>
      </c>
      <c r="ZQ5" s="96"/>
      <c r="ZR5" s="96">
        <v>366855</v>
      </c>
      <c r="ZS5" s="96">
        <v>361922</v>
      </c>
      <c r="ZT5" s="96"/>
      <c r="ZU5" s="96"/>
      <c r="ZV5" s="96">
        <v>176546148</v>
      </c>
      <c r="ZW5" s="96">
        <v>174465754</v>
      </c>
      <c r="ZX5" s="96">
        <v>1224678</v>
      </c>
      <c r="ZY5" s="96">
        <v>659090</v>
      </c>
      <c r="ZZ5" s="737">
        <v>1678686</v>
      </c>
      <c r="AAA5" s="737">
        <v>1342949</v>
      </c>
      <c r="AAB5" s="737">
        <v>1210337</v>
      </c>
      <c r="AAC5" s="737">
        <v>1325753</v>
      </c>
      <c r="AAD5" s="737">
        <v>1913505</v>
      </c>
      <c r="AAE5" s="737">
        <v>1683524</v>
      </c>
      <c r="AAF5" s="737">
        <v>91989</v>
      </c>
      <c r="AAG5" s="737">
        <v>43116</v>
      </c>
      <c r="AAH5" s="737">
        <v>947835</v>
      </c>
      <c r="AAI5" s="737">
        <v>44443</v>
      </c>
      <c r="AAJ5" s="737">
        <v>921490</v>
      </c>
      <c r="AAK5" s="737">
        <v>554457</v>
      </c>
      <c r="AAL5" s="737">
        <v>879623</v>
      </c>
      <c r="AAM5" s="737">
        <v>740394</v>
      </c>
      <c r="AAN5" s="737">
        <v>361590</v>
      </c>
      <c r="AAO5" s="737">
        <v>356996</v>
      </c>
      <c r="AAP5" s="737">
        <v>15676</v>
      </c>
      <c r="AAQ5" s="737">
        <v>21500</v>
      </c>
      <c r="AAR5" s="737">
        <v>825156</v>
      </c>
      <c r="AAS5" s="737">
        <v>1643308</v>
      </c>
      <c r="AAT5" s="738"/>
      <c r="AAU5" s="739">
        <v>1091080</v>
      </c>
      <c r="AAV5" s="740">
        <v>1200</v>
      </c>
      <c r="AAW5" s="740">
        <v>1200</v>
      </c>
      <c r="AAX5" s="737">
        <v>962468</v>
      </c>
      <c r="AAY5" s="737">
        <v>1569620</v>
      </c>
      <c r="AAZ5" s="737">
        <v>1340680</v>
      </c>
      <c r="ABA5" s="737">
        <v>1103232</v>
      </c>
      <c r="ABB5" s="737">
        <v>1495903</v>
      </c>
      <c r="ABC5" s="737">
        <v>1670712</v>
      </c>
      <c r="ABD5" s="737">
        <v>2148719</v>
      </c>
      <c r="ABE5" s="739">
        <v>1974208</v>
      </c>
      <c r="ABF5" s="739">
        <v>1056583</v>
      </c>
      <c r="ABG5" s="739">
        <v>1125995</v>
      </c>
      <c r="ABH5" s="738">
        <v>467014</v>
      </c>
      <c r="ABI5" s="737">
        <v>932555</v>
      </c>
      <c r="ABJ5" s="737">
        <v>26249971</v>
      </c>
      <c r="ABK5" s="737">
        <v>22174451</v>
      </c>
      <c r="ABL5" s="737">
        <v>1626600</v>
      </c>
      <c r="ABM5" s="741">
        <v>2212611</v>
      </c>
      <c r="ABN5" s="737">
        <v>622472</v>
      </c>
      <c r="ABO5" s="737">
        <v>899640</v>
      </c>
      <c r="ABP5" s="737">
        <v>868327</v>
      </c>
      <c r="ABQ5" s="737">
        <v>873064</v>
      </c>
      <c r="ABR5" s="737">
        <v>76376673</v>
      </c>
      <c r="ABS5" s="737">
        <v>76849147</v>
      </c>
      <c r="ABT5" s="737">
        <v>19099631</v>
      </c>
      <c r="ABU5" s="737">
        <v>19574562</v>
      </c>
      <c r="ABV5" s="737">
        <v>14755000</v>
      </c>
      <c r="ABW5" s="737">
        <v>14744000</v>
      </c>
      <c r="ABX5" s="737">
        <v>1174588</v>
      </c>
      <c r="ABY5" s="737">
        <v>1373134</v>
      </c>
      <c r="ABZ5" s="737">
        <v>5762811</v>
      </c>
      <c r="ACA5" s="737">
        <v>5617061</v>
      </c>
      <c r="ACB5" s="737">
        <v>2400820</v>
      </c>
      <c r="ACC5" s="737">
        <v>2788837</v>
      </c>
      <c r="ACD5" s="737">
        <v>1073564</v>
      </c>
      <c r="ACE5" s="737">
        <v>1266992</v>
      </c>
      <c r="ACF5" s="737">
        <v>1066628</v>
      </c>
      <c r="ACG5" s="739">
        <v>2006636</v>
      </c>
      <c r="ACH5" s="737">
        <v>13799391</v>
      </c>
      <c r="ACI5" s="737">
        <v>12990490</v>
      </c>
      <c r="ACJ5" s="742">
        <v>489285</v>
      </c>
      <c r="ACK5" s="739">
        <v>292329</v>
      </c>
      <c r="ACL5" s="737">
        <v>3426765</v>
      </c>
      <c r="ACM5" s="737">
        <v>2681796</v>
      </c>
      <c r="ACN5" s="737">
        <v>192894</v>
      </c>
      <c r="ACO5" s="737">
        <v>218221</v>
      </c>
      <c r="ACP5" s="737">
        <v>1679766</v>
      </c>
      <c r="ACQ5" s="743">
        <v>956775</v>
      </c>
      <c r="ACR5" s="743">
        <v>1299485</v>
      </c>
      <c r="ACS5" s="743">
        <v>1274724</v>
      </c>
      <c r="ACT5" s="737">
        <v>263595</v>
      </c>
      <c r="ACU5" s="737">
        <v>271147</v>
      </c>
      <c r="ACV5" s="737">
        <v>13078</v>
      </c>
      <c r="ACW5" s="737">
        <v>12693</v>
      </c>
      <c r="ACX5" s="737">
        <v>155906728</v>
      </c>
      <c r="ACY5" s="737">
        <v>165754252</v>
      </c>
      <c r="ACZ5" s="744">
        <v>185124</v>
      </c>
      <c r="ADA5" s="744">
        <v>6790</v>
      </c>
      <c r="ADB5" s="744">
        <v>544548</v>
      </c>
      <c r="ADC5" s="744">
        <v>235212</v>
      </c>
      <c r="ADD5" s="745">
        <v>226454697</v>
      </c>
      <c r="ADE5" s="745">
        <v>198546388</v>
      </c>
      <c r="ADF5" s="746">
        <v>1446037458</v>
      </c>
      <c r="ADG5" s="746">
        <v>1788163318</v>
      </c>
      <c r="ADH5" s="744">
        <v>247000</v>
      </c>
      <c r="ADI5" s="744">
        <v>247000</v>
      </c>
      <c r="ADJ5" s="746">
        <v>14202000</v>
      </c>
      <c r="ADK5" s="746">
        <v>45353000</v>
      </c>
      <c r="ADL5" s="744"/>
      <c r="ADM5" s="744"/>
      <c r="ADN5" s="746">
        <v>696249000</v>
      </c>
      <c r="ADO5" s="746">
        <v>715151905</v>
      </c>
      <c r="ADP5" s="747">
        <v>642934048</v>
      </c>
      <c r="ADQ5" s="747">
        <v>751494180</v>
      </c>
      <c r="ADR5" s="746"/>
      <c r="ADS5" s="746"/>
      <c r="ADT5" s="746">
        <v>785862000</v>
      </c>
      <c r="ADU5" s="746">
        <v>716483073</v>
      </c>
      <c r="ADV5" s="746">
        <v>1286456784</v>
      </c>
      <c r="ADW5" s="746">
        <v>1997272397</v>
      </c>
      <c r="ADX5" s="746">
        <v>340738000</v>
      </c>
      <c r="ADY5" s="746">
        <v>172520000</v>
      </c>
      <c r="ADZ5" s="746">
        <v>1708160623.3499999</v>
      </c>
      <c r="AEA5" s="746">
        <v>1589798131.1700001</v>
      </c>
      <c r="AEB5" s="746">
        <v>1932226766</v>
      </c>
      <c r="AEC5" s="746">
        <v>2797765450</v>
      </c>
      <c r="AED5" s="746">
        <v>2493091000</v>
      </c>
      <c r="AEE5" s="746">
        <v>1709934712</v>
      </c>
      <c r="AEF5" s="748">
        <v>2282004829</v>
      </c>
      <c r="AEG5" s="748">
        <v>4639653929</v>
      </c>
      <c r="AEH5" s="746">
        <v>22380612</v>
      </c>
      <c r="AEI5" s="746">
        <v>26332312</v>
      </c>
      <c r="AEJ5" s="746">
        <v>2241475614</v>
      </c>
      <c r="AEK5" s="746">
        <v>5342888279</v>
      </c>
      <c r="AEL5" s="746">
        <v>723834396</v>
      </c>
      <c r="AEM5" s="746">
        <v>1151472344</v>
      </c>
      <c r="AEN5" s="744">
        <v>3508650</v>
      </c>
      <c r="AEO5" s="744">
        <v>1670544</v>
      </c>
      <c r="AEP5" s="746">
        <v>72648572230</v>
      </c>
      <c r="AEQ5" s="746">
        <v>95515727649</v>
      </c>
      <c r="AER5" s="744"/>
      <c r="AES5" s="744"/>
      <c r="AET5" s="744"/>
      <c r="AEU5" s="744"/>
      <c r="AEV5" s="744">
        <v>17039000</v>
      </c>
      <c r="AEW5" s="744">
        <v>43691000</v>
      </c>
      <c r="AEX5" s="746">
        <v>2080427203.9000001</v>
      </c>
      <c r="AEY5" s="746">
        <v>1713560513.71</v>
      </c>
      <c r="AEZ5" s="749"/>
      <c r="AFA5" s="750"/>
      <c r="AFB5" s="746">
        <v>6517614197</v>
      </c>
      <c r="AFC5" s="746">
        <v>8232949724</v>
      </c>
      <c r="AFD5" s="746">
        <v>626709786</v>
      </c>
      <c r="AFE5" s="746">
        <v>899011378</v>
      </c>
      <c r="AFF5" s="746">
        <v>713568581</v>
      </c>
      <c r="AFG5" s="746">
        <v>1599815818</v>
      </c>
      <c r="AFH5" s="746">
        <v>2670664841</v>
      </c>
      <c r="AFI5" s="746">
        <v>3415866256</v>
      </c>
      <c r="AFJ5" s="751">
        <v>11637062989</v>
      </c>
      <c r="AFK5" s="746">
        <v>15563632872</v>
      </c>
      <c r="AFL5" s="744">
        <v>38219</v>
      </c>
      <c r="AFM5" s="744">
        <v>39298</v>
      </c>
      <c r="AFN5" s="744">
        <v>15092676</v>
      </c>
      <c r="AFO5" s="744">
        <v>8017011</v>
      </c>
      <c r="AFP5" s="751">
        <v>3406072756</v>
      </c>
      <c r="AFQ5" s="751">
        <v>3875979779</v>
      </c>
      <c r="AFR5" s="744">
        <v>1176469805</v>
      </c>
      <c r="AFS5" s="744">
        <v>1368246586</v>
      </c>
      <c r="AFT5" s="746">
        <v>980210000</v>
      </c>
      <c r="AFU5" s="746">
        <v>1533392005</v>
      </c>
      <c r="AFV5" s="744">
        <v>286532000</v>
      </c>
      <c r="AFW5" s="744">
        <v>325723122</v>
      </c>
      <c r="AFX5" s="746">
        <v>160579939215</v>
      </c>
      <c r="AFY5" s="746">
        <v>210701957937</v>
      </c>
      <c r="AFZ5" s="637">
        <v>899011378</v>
      </c>
      <c r="AGA5" s="638">
        <v>1178683155</v>
      </c>
      <c r="AGB5" s="637">
        <v>8232949724</v>
      </c>
      <c r="AGC5" s="638">
        <v>5448338724</v>
      </c>
      <c r="AGD5" s="637">
        <v>5342888280</v>
      </c>
      <c r="AGE5" s="638">
        <v>5048100204</v>
      </c>
      <c r="AGF5" s="637">
        <v>1703518213</v>
      </c>
      <c r="AGG5" s="638">
        <v>1634819041</v>
      </c>
      <c r="AGH5" s="637">
        <v>1788163318</v>
      </c>
      <c r="AGI5" s="637">
        <v>2194686433</v>
      </c>
      <c r="AGJ5" s="752">
        <v>20538045</v>
      </c>
      <c r="AGK5" s="752">
        <v>21279744</v>
      </c>
      <c r="AGL5" s="637">
        <v>2797765450</v>
      </c>
      <c r="AGM5" s="638">
        <v>2551330755</v>
      </c>
      <c r="AGN5" s="637">
        <v>95515727649</v>
      </c>
      <c r="AGO5" s="638">
        <v>125010672218</v>
      </c>
      <c r="AGP5" s="637">
        <v>1703518213</v>
      </c>
      <c r="AGQ5" s="638">
        <v>1634819041</v>
      </c>
      <c r="AGR5" s="637">
        <v>2848373239</v>
      </c>
      <c r="AGS5" s="638">
        <v>1095407401</v>
      </c>
      <c r="AGT5" s="637">
        <v>39298000</v>
      </c>
      <c r="AGU5" s="638">
        <v>70724000</v>
      </c>
      <c r="AGV5" s="637">
        <v>1533392005</v>
      </c>
      <c r="AGW5" s="638">
        <v>9840439935</v>
      </c>
      <c r="AGX5" s="638">
        <v>865000000</v>
      </c>
      <c r="AGY5" s="638">
        <v>865000000</v>
      </c>
      <c r="AGZ5" s="637">
        <v>5245019616</v>
      </c>
      <c r="AHA5" s="638">
        <v>4716629893</v>
      </c>
      <c r="AHB5" s="637">
        <v>300218385</v>
      </c>
      <c r="AHC5" s="638">
        <v>223963103</v>
      </c>
      <c r="AHD5" s="637">
        <v>1151472344</v>
      </c>
      <c r="AHE5" s="638">
        <v>1092229846</v>
      </c>
      <c r="AHF5" s="638">
        <v>45309455000</v>
      </c>
      <c r="AHG5" s="638">
        <v>37804410000</v>
      </c>
      <c r="AHH5" s="637">
        <v>4639653929</v>
      </c>
      <c r="AHI5" s="638">
        <v>6085558495</v>
      </c>
      <c r="AHJ5" s="637">
        <v>172520000</v>
      </c>
      <c r="AHK5" s="638">
        <v>316651000</v>
      </c>
      <c r="AHL5" s="637">
        <v>894203000</v>
      </c>
      <c r="AHM5" s="638">
        <v>2186818000</v>
      </c>
      <c r="AHN5" s="637">
        <v>3415866256</v>
      </c>
      <c r="AHO5" s="638">
        <v>1964675304</v>
      </c>
      <c r="AHP5" s="637">
        <v>235212000</v>
      </c>
      <c r="AHQ5" s="638">
        <v>606176557</v>
      </c>
      <c r="AHR5" s="637">
        <v>671785000</v>
      </c>
      <c r="AHS5" s="638">
        <v>1426527330</v>
      </c>
      <c r="AHT5" s="637">
        <v>1997272397</v>
      </c>
      <c r="AHU5" s="638">
        <v>2428716270</v>
      </c>
      <c r="AHV5" s="637">
        <v>45353000</v>
      </c>
      <c r="AHW5" s="638">
        <v>68466000</v>
      </c>
      <c r="AHX5" s="637">
        <v>198546388</v>
      </c>
      <c r="AHY5" s="638">
        <v>447777515</v>
      </c>
      <c r="AHZ5" s="637">
        <v>1599815818</v>
      </c>
      <c r="AIA5" s="638">
        <v>2864842118</v>
      </c>
      <c r="AIB5" s="637">
        <v>131149855</v>
      </c>
      <c r="AIC5" s="638">
        <v>121373614</v>
      </c>
      <c r="AID5" s="637">
        <v>43691000000</v>
      </c>
      <c r="AIE5" s="638">
        <v>13595000000</v>
      </c>
      <c r="AIF5" s="637">
        <v>1463776000</v>
      </c>
      <c r="AIG5" s="638">
        <v>1834826000</v>
      </c>
      <c r="AIH5" s="753"/>
      <c r="AII5" s="638">
        <v>364789905</v>
      </c>
      <c r="AIJ5" s="637">
        <v>1869739791</v>
      </c>
      <c r="AIK5" s="638">
        <v>3162911999</v>
      </c>
      <c r="AIL5" s="637">
        <v>2642970913</v>
      </c>
      <c r="AIM5" s="638">
        <v>3319006786</v>
      </c>
      <c r="AIN5" s="753"/>
      <c r="AIO5" s="638">
        <v>171035</v>
      </c>
      <c r="AIP5" s="753"/>
      <c r="AIQ5" s="638">
        <v>83928726</v>
      </c>
      <c r="AIR5" s="637">
        <v>8017011000</v>
      </c>
      <c r="AIS5" s="637">
        <v>5843155000</v>
      </c>
      <c r="AIT5" s="637">
        <v>751494181</v>
      </c>
      <c r="AIU5" s="637">
        <v>536878210</v>
      </c>
      <c r="AIV5" s="637">
        <v>104269417</v>
      </c>
      <c r="AIW5" s="637">
        <v>143035039</v>
      </c>
      <c r="AIX5" s="637">
        <v>833206</v>
      </c>
      <c r="AIY5" s="638">
        <v>593934</v>
      </c>
      <c r="AIZ5" s="637">
        <v>2630620264</v>
      </c>
      <c r="AJA5" s="638">
        <v>2906346286</v>
      </c>
      <c r="AJB5" s="637">
        <v>26332311000</v>
      </c>
      <c r="AJC5" s="638">
        <v>17095124000</v>
      </c>
      <c r="AJD5" s="637">
        <v>2628000</v>
      </c>
      <c r="AJE5" s="638">
        <v>6815000</v>
      </c>
      <c r="AJF5" s="637">
        <v>43691000000</v>
      </c>
      <c r="AJG5" s="638">
        <v>13595000000</v>
      </c>
      <c r="AJH5" s="637">
        <v>1713560512</v>
      </c>
      <c r="AJI5" s="638">
        <v>3738331311</v>
      </c>
      <c r="AJJ5" s="637">
        <v>3875979779</v>
      </c>
      <c r="AJK5" s="638">
        <v>3806935844</v>
      </c>
      <c r="AJL5" s="637">
        <v>1413623336</v>
      </c>
      <c r="AJM5" s="638">
        <v>1771936000</v>
      </c>
      <c r="AJN5" s="637">
        <v>1368246586</v>
      </c>
      <c r="AJO5" s="638">
        <v>8133077253</v>
      </c>
    </row>
    <row r="6" spans="1:951" x14ac:dyDescent="0.25">
      <c r="A6" s="91" t="s">
        <v>8</v>
      </c>
      <c r="B6" s="96">
        <v>0</v>
      </c>
      <c r="C6" s="96">
        <v>546482.84199999995</v>
      </c>
      <c r="D6" s="96">
        <v>553975.27899999998</v>
      </c>
      <c r="E6" s="96">
        <v>8866</v>
      </c>
      <c r="F6" s="96">
        <v>487259</v>
      </c>
      <c r="G6" s="96">
        <v>275983</v>
      </c>
      <c r="H6" s="96">
        <v>232237</v>
      </c>
      <c r="I6" s="96">
        <v>332712.78899999999</v>
      </c>
      <c r="J6" s="96">
        <v>353739</v>
      </c>
      <c r="K6" s="96"/>
      <c r="L6" s="96">
        <v>2075961.517</v>
      </c>
      <c r="M6" s="96">
        <v>2508978.2760000001</v>
      </c>
      <c r="N6" s="96">
        <v>2645448.6740000001</v>
      </c>
      <c r="O6" s="96">
        <v>2520199</v>
      </c>
      <c r="P6" s="96">
        <v>1262060</v>
      </c>
      <c r="Q6" s="96">
        <v>0</v>
      </c>
      <c r="R6" s="96">
        <v>11122.037</v>
      </c>
      <c r="S6" s="96">
        <v>8814</v>
      </c>
      <c r="T6" s="96">
        <v>16729</v>
      </c>
      <c r="U6" s="96">
        <v>2928384</v>
      </c>
      <c r="V6" s="96">
        <v>0</v>
      </c>
      <c r="W6" s="96">
        <v>0</v>
      </c>
      <c r="X6" s="96">
        <v>643673</v>
      </c>
      <c r="Y6" s="96">
        <v>950621</v>
      </c>
      <c r="Z6" s="96">
        <v>1282513</v>
      </c>
      <c r="AA6" s="96">
        <v>0</v>
      </c>
      <c r="AB6" s="96">
        <v>570849</v>
      </c>
      <c r="AC6" s="96">
        <v>513731.08799999999</v>
      </c>
      <c r="AD6" s="96">
        <v>655831</v>
      </c>
      <c r="AE6" s="96">
        <v>1011687</v>
      </c>
      <c r="AF6" s="96">
        <v>1313047.8369999998</v>
      </c>
      <c r="AG6" s="96">
        <v>671767.56</v>
      </c>
      <c r="AH6" s="96">
        <v>481793.71399999998</v>
      </c>
      <c r="AI6" s="96">
        <v>346422</v>
      </c>
      <c r="AJ6" s="96">
        <v>1118424</v>
      </c>
      <c r="AK6" s="96">
        <v>0</v>
      </c>
      <c r="AL6" s="96">
        <v>472973.18800000002</v>
      </c>
      <c r="AM6" s="96">
        <v>1264645.2490000001</v>
      </c>
      <c r="AN6" s="96">
        <v>1325015</v>
      </c>
      <c r="AO6" s="96">
        <v>1178148</v>
      </c>
      <c r="AP6" s="96">
        <v>0</v>
      </c>
      <c r="AQ6" s="96">
        <v>171873</v>
      </c>
      <c r="AR6" s="96">
        <v>172673</v>
      </c>
      <c r="AS6" s="96">
        <v>182673</v>
      </c>
      <c r="AT6" s="96">
        <v>486551</v>
      </c>
      <c r="AU6" s="96">
        <v>222901</v>
      </c>
      <c r="AV6" s="96">
        <v>211402</v>
      </c>
      <c r="AW6" s="96">
        <v>221393</v>
      </c>
      <c r="AX6" s="96">
        <v>191393</v>
      </c>
      <c r="AY6" s="96"/>
      <c r="AZ6" s="96">
        <v>228318.533</v>
      </c>
      <c r="BA6" s="96">
        <v>282527.239</v>
      </c>
      <c r="BB6" s="96">
        <v>244825.11600000001</v>
      </c>
      <c r="BC6" s="96">
        <v>69710</v>
      </c>
      <c r="BD6" s="96">
        <v>47386</v>
      </c>
      <c r="BE6" s="96">
        <v>0</v>
      </c>
      <c r="BF6" s="96">
        <v>623448.67500000005</v>
      </c>
      <c r="BG6" s="96">
        <v>726872.56299999997</v>
      </c>
      <c r="BH6" s="96">
        <v>727461</v>
      </c>
      <c r="BI6" s="96">
        <v>798562</v>
      </c>
      <c r="BJ6" s="96"/>
      <c r="BK6" s="96"/>
      <c r="BL6" s="96"/>
      <c r="BM6" s="96"/>
      <c r="BN6" s="96">
        <v>1191864</v>
      </c>
      <c r="BO6" s="96"/>
      <c r="BP6" s="96"/>
      <c r="BQ6" s="96">
        <v>133534</v>
      </c>
      <c r="BR6" s="96">
        <v>273557</v>
      </c>
      <c r="BS6" s="96">
        <v>298276</v>
      </c>
      <c r="BT6" s="96">
        <v>6376.8010000000004</v>
      </c>
      <c r="BU6" s="96">
        <v>6376.8010000000004</v>
      </c>
      <c r="BV6" s="96">
        <v>6377</v>
      </c>
      <c r="BW6" s="96">
        <v>6380</v>
      </c>
      <c r="BX6" s="96">
        <v>6377</v>
      </c>
      <c r="BY6" s="96">
        <v>0</v>
      </c>
      <c r="BZ6" s="96">
        <v>560099.978</v>
      </c>
      <c r="CA6" s="96">
        <v>602870.11700000009</v>
      </c>
      <c r="CB6" s="96">
        <v>715166</v>
      </c>
      <c r="CC6" s="96">
        <v>765851</v>
      </c>
      <c r="CD6" s="96">
        <v>242111.63399999999</v>
      </c>
      <c r="CE6" s="96">
        <v>242111.63399999999</v>
      </c>
      <c r="CF6" s="96">
        <v>254161.63399999999</v>
      </c>
      <c r="CG6" s="96">
        <v>254162</v>
      </c>
      <c r="CH6" s="96">
        <v>229139</v>
      </c>
      <c r="CI6" s="96">
        <v>0</v>
      </c>
      <c r="CJ6" s="96">
        <v>0</v>
      </c>
      <c r="CK6" s="96">
        <v>1010.799</v>
      </c>
      <c r="CL6" s="96">
        <v>1010799</v>
      </c>
      <c r="CM6" s="96"/>
      <c r="CN6" s="96">
        <v>0</v>
      </c>
      <c r="CO6" s="96">
        <v>1251340.8269999998</v>
      </c>
      <c r="CP6" s="96">
        <v>2062868.0430000001</v>
      </c>
      <c r="CQ6" s="96">
        <v>2267467</v>
      </c>
      <c r="CR6" s="96">
        <v>1801920</v>
      </c>
      <c r="CS6" s="96">
        <v>0</v>
      </c>
      <c r="CT6" s="96">
        <v>924473.8</v>
      </c>
      <c r="CU6" s="96">
        <v>843388</v>
      </c>
      <c r="CV6" s="96">
        <v>562607</v>
      </c>
      <c r="CW6" s="96">
        <v>947286</v>
      </c>
      <c r="CX6" s="96">
        <v>0</v>
      </c>
      <c r="CY6" s="96">
        <v>25401.395</v>
      </c>
      <c r="CZ6" s="96">
        <v>25401.395</v>
      </c>
      <c r="DA6" s="96">
        <v>25401</v>
      </c>
      <c r="DB6" s="96">
        <v>25401</v>
      </c>
      <c r="DC6" s="96">
        <v>234681</v>
      </c>
      <c r="DD6" s="96">
        <v>296964</v>
      </c>
      <c r="DE6" s="96">
        <v>322281</v>
      </c>
      <c r="DF6" s="96">
        <v>277757</v>
      </c>
      <c r="DG6" s="96">
        <v>279835</v>
      </c>
      <c r="DH6" s="96">
        <v>0</v>
      </c>
      <c r="DI6" s="96">
        <v>0</v>
      </c>
      <c r="DJ6" s="96"/>
      <c r="DK6" s="96"/>
      <c r="DL6" s="96">
        <v>471571</v>
      </c>
      <c r="DM6" s="102">
        <v>5855803</v>
      </c>
      <c r="DN6" s="96">
        <v>555219</v>
      </c>
      <c r="DO6" s="96">
        <v>4970371</v>
      </c>
      <c r="DP6" s="96">
        <v>4510402</v>
      </c>
      <c r="DQ6" s="96">
        <v>4143340</v>
      </c>
      <c r="DR6" s="96">
        <v>49897064.387999997</v>
      </c>
      <c r="DS6" s="96">
        <v>56562050.733000003</v>
      </c>
      <c r="DT6" s="96">
        <v>51768692.891999997</v>
      </c>
      <c r="DU6" s="96">
        <v>9434714</v>
      </c>
      <c r="DV6" s="96">
        <v>17080852</v>
      </c>
      <c r="DW6" s="96">
        <v>1605618.672</v>
      </c>
      <c r="DX6" s="96">
        <v>1530520.3</v>
      </c>
      <c r="DY6" s="96">
        <v>1268598.801</v>
      </c>
      <c r="DZ6" s="96">
        <v>1117901</v>
      </c>
      <c r="EA6" s="96">
        <v>1039803</v>
      </c>
      <c r="EB6" s="96"/>
      <c r="EC6" s="96"/>
      <c r="ED6" s="96"/>
      <c r="EE6" s="96"/>
      <c r="EF6" s="96"/>
      <c r="EG6" s="96"/>
      <c r="EH6" s="96"/>
      <c r="EI6" s="96"/>
      <c r="EJ6" s="96">
        <v>137835</v>
      </c>
      <c r="EK6" s="96">
        <v>107460</v>
      </c>
      <c r="EL6" s="96"/>
      <c r="EM6" s="96"/>
      <c r="EN6" s="96"/>
      <c r="EO6" s="96">
        <v>803753</v>
      </c>
      <c r="EP6" s="96">
        <v>831542</v>
      </c>
      <c r="EQ6" s="96"/>
      <c r="ER6" s="96"/>
      <c r="ES6" s="96"/>
      <c r="ET6" s="96"/>
      <c r="EU6" s="96">
        <v>573653</v>
      </c>
      <c r="EV6" s="96">
        <v>477605</v>
      </c>
      <c r="EW6" s="96">
        <v>470320</v>
      </c>
      <c r="EX6" s="96">
        <v>1262060</v>
      </c>
      <c r="EY6" s="96">
        <v>1127549</v>
      </c>
      <c r="EZ6" s="96">
        <v>2928384</v>
      </c>
      <c r="FA6" s="96">
        <v>4019368</v>
      </c>
      <c r="FB6" s="96">
        <v>1011687</v>
      </c>
      <c r="FC6" s="96">
        <v>1376893</v>
      </c>
      <c r="FD6" s="96">
        <v>1118424</v>
      </c>
      <c r="FE6" s="96">
        <v>1053329</v>
      </c>
      <c r="FF6" s="96">
        <v>1178148</v>
      </c>
      <c r="FG6" s="96">
        <v>1028503</v>
      </c>
      <c r="FH6" s="96">
        <v>486551</v>
      </c>
      <c r="FI6" s="96"/>
      <c r="FJ6" s="96"/>
      <c r="FK6" s="96"/>
      <c r="FL6" s="96"/>
      <c r="FM6" s="96">
        <v>205726</v>
      </c>
      <c r="FN6" s="96">
        <v>298276</v>
      </c>
      <c r="FO6" s="96">
        <v>357898</v>
      </c>
      <c r="FP6" s="96">
        <v>798562</v>
      </c>
      <c r="FQ6" s="96">
        <v>799076</v>
      </c>
      <c r="FR6" s="96">
        <v>6377</v>
      </c>
      <c r="FS6" s="96"/>
      <c r="FT6" s="96">
        <v>47386</v>
      </c>
      <c r="FU6" s="96">
        <v>39248</v>
      </c>
      <c r="FV6" s="96">
        <v>765851</v>
      </c>
      <c r="FW6" s="96">
        <v>628735</v>
      </c>
      <c r="FX6" s="96"/>
      <c r="FY6" s="96"/>
      <c r="FZ6" s="96">
        <v>1282513</v>
      </c>
      <c r="GA6" s="96">
        <v>1218740</v>
      </c>
      <c r="GB6" s="96">
        <v>1191864</v>
      </c>
      <c r="GC6" s="96">
        <v>2091414</v>
      </c>
      <c r="GD6" s="96">
        <v>229139</v>
      </c>
      <c r="GE6" s="96">
        <v>220867</v>
      </c>
      <c r="GF6" s="96"/>
      <c r="GG6" s="96"/>
      <c r="GH6" s="96">
        <v>1801920</v>
      </c>
      <c r="GI6" s="96">
        <v>1303160</v>
      </c>
      <c r="GJ6" s="96">
        <v>1041831</v>
      </c>
      <c r="GK6" s="96">
        <v>1066835</v>
      </c>
      <c r="GL6" s="96">
        <v>290156</v>
      </c>
      <c r="GM6" s="96">
        <v>244850</v>
      </c>
      <c r="GN6" s="96">
        <v>368376</v>
      </c>
      <c r="GO6" s="96">
        <v>350839</v>
      </c>
      <c r="GP6" s="96"/>
      <c r="GQ6" s="96"/>
      <c r="GR6" s="96"/>
      <c r="GS6" s="96"/>
      <c r="GT6" s="96">
        <v>2098600</v>
      </c>
      <c r="GU6" s="96">
        <v>2027293</v>
      </c>
      <c r="GV6" s="96"/>
      <c r="GW6" s="96">
        <v>31701</v>
      </c>
      <c r="GX6" s="96">
        <v>639938</v>
      </c>
      <c r="GY6" s="96">
        <v>560251</v>
      </c>
      <c r="GZ6" s="96">
        <v>6263271</v>
      </c>
      <c r="HA6" s="96">
        <v>8641673</v>
      </c>
      <c r="HB6" s="96">
        <v>1216187</v>
      </c>
      <c r="HC6" s="96">
        <v>1214987</v>
      </c>
      <c r="HD6" s="96">
        <v>238416</v>
      </c>
      <c r="HE6" s="96">
        <v>194904</v>
      </c>
      <c r="HF6" s="96">
        <v>6133968</v>
      </c>
      <c r="HG6" s="96">
        <v>6059187</v>
      </c>
      <c r="HH6" s="96">
        <v>6345375</v>
      </c>
      <c r="HI6" s="96">
        <v>6056326</v>
      </c>
      <c r="HJ6" s="96">
        <v>193789</v>
      </c>
      <c r="HK6" s="96">
        <v>1235148</v>
      </c>
      <c r="HL6" s="96">
        <v>110444</v>
      </c>
      <c r="HM6" s="96">
        <v>145372</v>
      </c>
      <c r="HN6" s="96">
        <v>251438</v>
      </c>
      <c r="HO6" s="96">
        <v>171314</v>
      </c>
      <c r="HP6" s="96">
        <v>289981</v>
      </c>
      <c r="HQ6" s="96">
        <v>439858</v>
      </c>
      <c r="HR6" s="96">
        <v>668847</v>
      </c>
      <c r="HS6" s="96">
        <v>1528813</v>
      </c>
      <c r="HT6" s="96">
        <v>107460</v>
      </c>
      <c r="HU6" s="96"/>
      <c r="HV6" s="96">
        <v>831542</v>
      </c>
      <c r="HW6" s="96">
        <v>266206</v>
      </c>
      <c r="HX6" s="96">
        <v>4079288</v>
      </c>
      <c r="HY6" s="96">
        <v>4219332</v>
      </c>
      <c r="HZ6" s="96">
        <v>512385</v>
      </c>
      <c r="IA6" s="96">
        <v>1309263</v>
      </c>
      <c r="IB6" s="96">
        <v>808892</v>
      </c>
      <c r="IC6" s="96">
        <v>1017296</v>
      </c>
      <c r="ID6" s="96">
        <v>1684139</v>
      </c>
      <c r="IE6" s="96">
        <v>1395908</v>
      </c>
      <c r="IF6" s="96">
        <v>5717166</v>
      </c>
      <c r="IG6" s="96">
        <v>5250971</v>
      </c>
      <c r="IH6" s="96">
        <v>79204</v>
      </c>
      <c r="II6" s="96">
        <v>83204</v>
      </c>
      <c r="IJ6" s="96">
        <v>248427</v>
      </c>
      <c r="IK6" s="96">
        <v>312480</v>
      </c>
      <c r="IL6" s="96">
        <v>573653</v>
      </c>
      <c r="IM6" s="96">
        <v>842824</v>
      </c>
      <c r="IN6" s="96"/>
      <c r="IO6" s="96"/>
      <c r="IP6" s="96">
        <v>25401</v>
      </c>
      <c r="IQ6" s="96">
        <v>25402</v>
      </c>
      <c r="IR6" s="96">
        <v>279835</v>
      </c>
      <c r="IS6" s="96">
        <v>321835</v>
      </c>
      <c r="IT6" s="96">
        <v>471571</v>
      </c>
      <c r="IU6" s="96">
        <v>562533</v>
      </c>
      <c r="IV6" s="96">
        <v>4143340</v>
      </c>
      <c r="IW6" s="96">
        <v>3936342</v>
      </c>
      <c r="IX6" s="96">
        <v>17080852</v>
      </c>
      <c r="IY6" s="96">
        <v>20744184</v>
      </c>
      <c r="IZ6" s="96">
        <v>1039803</v>
      </c>
      <c r="JA6" s="96">
        <v>1184482</v>
      </c>
      <c r="JB6" s="96">
        <v>470320</v>
      </c>
      <c r="JC6" s="96">
        <v>456575</v>
      </c>
      <c r="JD6" s="96">
        <v>1127549</v>
      </c>
      <c r="JE6" s="96">
        <v>1093092</v>
      </c>
      <c r="JF6" s="96">
        <v>4019368</v>
      </c>
      <c r="JG6" s="96">
        <v>4026623</v>
      </c>
      <c r="JH6" s="96">
        <v>1376893</v>
      </c>
      <c r="JI6" s="96">
        <v>1651766</v>
      </c>
      <c r="JJ6" s="96">
        <v>1053329</v>
      </c>
      <c r="JK6" s="96">
        <v>1171653</v>
      </c>
      <c r="JL6" s="96">
        <v>1028503</v>
      </c>
      <c r="JM6" s="96">
        <v>983909</v>
      </c>
      <c r="JN6" s="96">
        <v>472336</v>
      </c>
      <c r="JO6" s="96"/>
      <c r="JP6" s="96"/>
      <c r="JQ6" s="96"/>
      <c r="JR6" s="96">
        <v>205726</v>
      </c>
      <c r="JS6" s="96">
        <v>173726</v>
      </c>
      <c r="JT6" s="96">
        <v>357898</v>
      </c>
      <c r="JU6" s="96">
        <v>308476</v>
      </c>
      <c r="JV6" s="96">
        <v>799076</v>
      </c>
      <c r="JW6" s="96">
        <v>795347</v>
      </c>
      <c r="JX6" s="96"/>
      <c r="JY6" s="96"/>
      <c r="JZ6" s="96">
        <v>39248</v>
      </c>
      <c r="KA6" s="96">
        <v>44522</v>
      </c>
      <c r="KB6" s="96">
        <v>628735</v>
      </c>
      <c r="KC6" s="96">
        <v>647578</v>
      </c>
      <c r="KD6" s="96"/>
      <c r="KE6" s="96">
        <v>374959</v>
      </c>
      <c r="KF6" s="96">
        <v>1218740</v>
      </c>
      <c r="KG6" s="96">
        <v>1400479</v>
      </c>
      <c r="KH6" s="96">
        <v>2091414</v>
      </c>
      <c r="KI6" s="96"/>
      <c r="KJ6" s="96">
        <v>220867</v>
      </c>
      <c r="KK6" s="96">
        <v>542071</v>
      </c>
      <c r="KL6" s="96">
        <v>22829</v>
      </c>
      <c r="KM6" s="96">
        <v>22829</v>
      </c>
      <c r="KN6" s="96">
        <v>1303160</v>
      </c>
      <c r="KO6" s="96">
        <v>872546</v>
      </c>
      <c r="KP6" s="96">
        <v>1066835</v>
      </c>
      <c r="KQ6" s="96"/>
      <c r="KR6" s="96">
        <v>244850</v>
      </c>
      <c r="KS6" s="96">
        <v>199128</v>
      </c>
      <c r="KT6" s="96">
        <v>350839</v>
      </c>
      <c r="KU6" s="96">
        <v>318364</v>
      </c>
      <c r="KV6" s="96"/>
      <c r="KW6" s="96"/>
      <c r="KX6" s="96">
        <v>673510</v>
      </c>
      <c r="KY6" s="96"/>
      <c r="KZ6" s="96">
        <v>2027293</v>
      </c>
      <c r="LA6" s="96">
        <v>1654248</v>
      </c>
      <c r="LB6" s="96">
        <v>31701</v>
      </c>
      <c r="LC6" s="96">
        <v>31702</v>
      </c>
      <c r="LD6" s="96">
        <v>560251</v>
      </c>
      <c r="LE6" s="96">
        <v>854456</v>
      </c>
      <c r="LF6" s="96">
        <v>8641673</v>
      </c>
      <c r="LG6" s="96">
        <v>10092970</v>
      </c>
      <c r="LH6" s="96">
        <v>1214987</v>
      </c>
      <c r="LI6" s="96">
        <v>1225544</v>
      </c>
      <c r="LJ6" s="96">
        <v>194904</v>
      </c>
      <c r="LK6" s="96">
        <v>178763</v>
      </c>
      <c r="LL6" s="96">
        <v>6059187</v>
      </c>
      <c r="LM6" s="96">
        <v>5870860</v>
      </c>
      <c r="LN6" s="96">
        <v>6056326</v>
      </c>
      <c r="LO6" s="96">
        <v>6215394</v>
      </c>
      <c r="LP6" s="96">
        <v>1235148</v>
      </c>
      <c r="LQ6" s="96">
        <v>2254308</v>
      </c>
      <c r="LR6" s="96">
        <v>145372</v>
      </c>
      <c r="LS6" s="96">
        <v>181000</v>
      </c>
      <c r="LT6" s="96">
        <v>171314</v>
      </c>
      <c r="LU6" s="96">
        <v>171314</v>
      </c>
      <c r="LV6" s="96">
        <v>439858</v>
      </c>
      <c r="LW6" s="96">
        <v>248129</v>
      </c>
      <c r="LX6" s="96">
        <v>1528813</v>
      </c>
      <c r="LY6" s="96">
        <v>1464879</v>
      </c>
      <c r="LZ6" s="96"/>
      <c r="MA6" s="96"/>
      <c r="MB6" s="96">
        <v>266206</v>
      </c>
      <c r="MC6" s="96">
        <v>726877</v>
      </c>
      <c r="MD6" s="96">
        <v>4219332</v>
      </c>
      <c r="ME6" s="96">
        <v>3666773</v>
      </c>
      <c r="MF6" s="96">
        <v>1309263</v>
      </c>
      <c r="MG6" s="96">
        <v>1184252</v>
      </c>
      <c r="MH6" s="96">
        <v>1017296</v>
      </c>
      <c r="MI6" s="96">
        <v>1218054</v>
      </c>
      <c r="MJ6" s="96">
        <v>1395908</v>
      </c>
      <c r="MK6" s="96">
        <v>570897</v>
      </c>
      <c r="ML6" s="96">
        <v>5250971</v>
      </c>
      <c r="MM6" s="96">
        <v>4785954</v>
      </c>
      <c r="MN6" s="96">
        <v>83204</v>
      </c>
      <c r="MO6" s="96">
        <v>341204</v>
      </c>
      <c r="MP6" s="96">
        <v>312480</v>
      </c>
      <c r="MQ6" s="96">
        <v>255147</v>
      </c>
      <c r="MR6" s="96">
        <v>842824</v>
      </c>
      <c r="MS6" s="96">
        <v>902103</v>
      </c>
      <c r="MT6" s="96">
        <v>970557</v>
      </c>
      <c r="MU6" s="96">
        <v>970557</v>
      </c>
      <c r="MV6" s="96">
        <v>25402</v>
      </c>
      <c r="MW6" s="96">
        <v>25401</v>
      </c>
      <c r="MX6" s="96">
        <v>321835</v>
      </c>
      <c r="MY6" s="96">
        <v>216000</v>
      </c>
      <c r="MZ6" s="96">
        <v>562533</v>
      </c>
      <c r="NA6" s="96">
        <v>555346</v>
      </c>
      <c r="NB6" s="96">
        <v>3936342</v>
      </c>
      <c r="NC6" s="96">
        <v>4056218</v>
      </c>
      <c r="ND6" s="96">
        <v>20744184</v>
      </c>
      <c r="NE6" s="96">
        <v>29609085</v>
      </c>
      <c r="NF6" s="96">
        <v>1184482</v>
      </c>
      <c r="NG6" s="96">
        <v>1099774</v>
      </c>
      <c r="NH6" s="391">
        <v>456575</v>
      </c>
      <c r="NI6" s="391">
        <v>443383</v>
      </c>
      <c r="NJ6" s="391">
        <v>1016868</v>
      </c>
      <c r="NK6" s="391">
        <v>989215</v>
      </c>
      <c r="NL6" s="391">
        <v>4026623</v>
      </c>
      <c r="NM6" s="391">
        <v>4016444</v>
      </c>
      <c r="NN6" s="391">
        <v>1728466</v>
      </c>
      <c r="NO6" s="391">
        <v>1467978</v>
      </c>
      <c r="NP6" s="391">
        <v>1171653</v>
      </c>
      <c r="NQ6" s="391">
        <v>1110464</v>
      </c>
      <c r="NR6" s="391">
        <v>983909</v>
      </c>
      <c r="NS6" s="391">
        <v>859834</v>
      </c>
      <c r="NT6" s="391">
        <v>472336</v>
      </c>
      <c r="NU6" s="391"/>
      <c r="NV6" s="391"/>
      <c r="NW6" s="391"/>
      <c r="NX6" s="391">
        <v>173726</v>
      </c>
      <c r="NY6" s="391">
        <v>173726</v>
      </c>
      <c r="NZ6" s="391">
        <v>308476</v>
      </c>
      <c r="OA6" s="391">
        <v>262363</v>
      </c>
      <c r="OB6" s="391">
        <v>795347</v>
      </c>
      <c r="OC6" s="391">
        <v>798692</v>
      </c>
      <c r="OD6" s="391"/>
      <c r="OE6" s="391"/>
      <c r="OF6" s="391">
        <v>44522</v>
      </c>
      <c r="OG6" s="391">
        <v>44522</v>
      </c>
      <c r="OH6" s="391">
        <v>647578</v>
      </c>
      <c r="OI6" s="391">
        <f>1365973+161910-718689</f>
        <v>809194</v>
      </c>
      <c r="OJ6" s="391">
        <v>374959</v>
      </c>
      <c r="OK6" s="391">
        <v>539250</v>
      </c>
      <c r="OL6" s="391">
        <v>1400479</v>
      </c>
      <c r="OM6" s="391">
        <v>3490596</v>
      </c>
      <c r="ON6" s="391"/>
      <c r="OO6" s="391">
        <v>1921414</v>
      </c>
      <c r="OP6" s="391">
        <v>542071</v>
      </c>
      <c r="OQ6" s="391">
        <v>498798</v>
      </c>
      <c r="OR6" s="391">
        <v>22829</v>
      </c>
      <c r="OS6" s="391"/>
      <c r="OT6" s="391">
        <v>872546</v>
      </c>
      <c r="OU6" s="391">
        <v>1417745</v>
      </c>
      <c r="OV6" s="391"/>
      <c r="OW6" s="391">
        <v>1069733</v>
      </c>
      <c r="OX6" s="391">
        <v>199128</v>
      </c>
      <c r="OY6" s="391">
        <v>323597</v>
      </c>
      <c r="OZ6" s="391">
        <v>318364</v>
      </c>
      <c r="PA6" s="391">
        <v>270362</v>
      </c>
      <c r="PB6" s="391">
        <v>50000</v>
      </c>
      <c r="PC6" s="391">
        <v>50000</v>
      </c>
      <c r="PD6" s="391"/>
      <c r="PE6" s="391"/>
      <c r="PF6" s="391">
        <v>1654248</v>
      </c>
      <c r="PG6" s="391">
        <v>1749655</v>
      </c>
      <c r="PH6" s="391">
        <v>31702</v>
      </c>
      <c r="PI6" s="391"/>
      <c r="PJ6" s="391">
        <v>854456</v>
      </c>
      <c r="PK6" s="391">
        <v>786066</v>
      </c>
      <c r="PL6" s="391">
        <v>38547217</v>
      </c>
      <c r="PM6" s="391">
        <v>66682675</v>
      </c>
      <c r="PN6" s="391">
        <v>1235330</v>
      </c>
      <c r="PO6" s="391">
        <v>1235330</v>
      </c>
      <c r="PP6" s="391">
        <v>178763</v>
      </c>
      <c r="PQ6" s="391">
        <v>754068</v>
      </c>
      <c r="PR6" s="391">
        <v>5870860</v>
      </c>
      <c r="PS6" s="391">
        <v>6536577</v>
      </c>
      <c r="PT6" s="391">
        <v>16604853</v>
      </c>
      <c r="PU6" s="391">
        <v>17819109</v>
      </c>
      <c r="PV6" s="391">
        <v>1235148</v>
      </c>
      <c r="PW6" s="391">
        <v>2254308</v>
      </c>
      <c r="PX6" s="391">
        <v>32875000</v>
      </c>
      <c r="PY6" s="391">
        <v>48258000</v>
      </c>
      <c r="PZ6" s="391">
        <v>171314</v>
      </c>
      <c r="QA6" s="391">
        <v>119028</v>
      </c>
      <c r="QB6" s="391">
        <v>248129</v>
      </c>
      <c r="QC6" s="391">
        <v>801376</v>
      </c>
      <c r="QD6" s="391">
        <v>1464879</v>
      </c>
      <c r="QE6" s="391">
        <f>1774752+2681625</f>
        <v>4456377</v>
      </c>
      <c r="QF6" s="391"/>
      <c r="QG6" s="391"/>
      <c r="QH6" s="391">
        <v>726877</v>
      </c>
      <c r="QI6" s="391">
        <f>731488</f>
        <v>731488</v>
      </c>
      <c r="QJ6" s="391">
        <v>3666773</v>
      </c>
      <c r="QK6" s="391">
        <v>1841916</v>
      </c>
      <c r="QL6" s="391">
        <v>1184252</v>
      </c>
      <c r="QM6" s="391">
        <v>2512757</v>
      </c>
      <c r="QN6" s="391">
        <v>1017296</v>
      </c>
      <c r="QO6" s="391">
        <v>1218054</v>
      </c>
      <c r="QP6" s="391">
        <v>570897</v>
      </c>
      <c r="QQ6" s="391">
        <v>501540</v>
      </c>
      <c r="QR6" s="391">
        <v>4785954</v>
      </c>
      <c r="QS6" s="391">
        <v>3708214</v>
      </c>
      <c r="QT6" s="391">
        <v>341204</v>
      </c>
      <c r="QU6" s="391">
        <v>497065</v>
      </c>
      <c r="QV6" s="391">
        <v>312480</v>
      </c>
      <c r="QW6" s="391">
        <v>255147</v>
      </c>
      <c r="QX6" s="391">
        <f>1991848-1377797</f>
        <v>614051</v>
      </c>
      <c r="QY6" s="391">
        <f>2009173-1239510</f>
        <v>769663</v>
      </c>
      <c r="QZ6" s="391">
        <v>970557</v>
      </c>
      <c r="RA6" s="391">
        <v>970557</v>
      </c>
      <c r="RB6" s="391">
        <v>25401</v>
      </c>
      <c r="RC6" s="391">
        <v>101604</v>
      </c>
      <c r="RD6" s="391">
        <v>321835</v>
      </c>
      <c r="RE6" s="391">
        <v>216000</v>
      </c>
      <c r="RF6" s="391">
        <v>555346</v>
      </c>
      <c r="RG6" s="391"/>
      <c r="RH6" s="391">
        <v>3936342</v>
      </c>
      <c r="RI6" s="391">
        <v>4056218</v>
      </c>
      <c r="RJ6" s="391">
        <v>96857485</v>
      </c>
      <c r="RK6" s="391">
        <v>75142696</v>
      </c>
      <c r="RL6" s="391">
        <v>1099774</v>
      </c>
      <c r="RM6" s="391">
        <v>1018710</v>
      </c>
      <c r="RN6" s="96">
        <v>935426</v>
      </c>
      <c r="RO6" s="96">
        <v>977291</v>
      </c>
      <c r="RP6" s="96">
        <v>989214</v>
      </c>
      <c r="RQ6" s="96">
        <v>871989</v>
      </c>
      <c r="RR6" s="96">
        <v>4016444</v>
      </c>
      <c r="RS6" s="96">
        <v>4812958</v>
      </c>
      <c r="RT6" s="96">
        <v>1467979</v>
      </c>
      <c r="RU6" s="96">
        <v>1344027</v>
      </c>
      <c r="RV6" s="96">
        <v>1110464</v>
      </c>
      <c r="RW6" s="96">
        <v>1162162</v>
      </c>
      <c r="RX6" s="96">
        <v>1177918</v>
      </c>
      <c r="RY6" s="96">
        <v>1264253</v>
      </c>
      <c r="RZ6" s="96"/>
      <c r="SA6" s="96"/>
      <c r="SB6" s="96"/>
      <c r="SC6" s="96"/>
      <c r="SD6" s="96">
        <v>173726</v>
      </c>
      <c r="SE6" s="96">
        <v>173726</v>
      </c>
      <c r="SF6" s="96">
        <v>426702</v>
      </c>
      <c r="SG6" s="96">
        <v>400932</v>
      </c>
      <c r="SH6" s="96">
        <v>798692</v>
      </c>
      <c r="SI6" s="96">
        <v>740425</v>
      </c>
      <c r="SJ6" s="96"/>
      <c r="SK6" s="96"/>
      <c r="SL6" s="96">
        <v>44522</v>
      </c>
      <c r="SM6" s="96">
        <v>50967</v>
      </c>
      <c r="SN6" s="96">
        <v>809194</v>
      </c>
      <c r="SO6" s="96">
        <v>872995</v>
      </c>
      <c r="SP6" s="96">
        <v>539250</v>
      </c>
      <c r="SQ6" s="96">
        <v>496492</v>
      </c>
      <c r="SR6" s="96">
        <v>3853958</v>
      </c>
      <c r="SS6" s="96">
        <v>3849898</v>
      </c>
      <c r="ST6" s="96">
        <v>1921414</v>
      </c>
      <c r="SU6" s="96"/>
      <c r="SV6" s="96">
        <v>498799</v>
      </c>
      <c r="SW6" s="96">
        <v>438865</v>
      </c>
      <c r="SX6" s="96"/>
      <c r="SY6" s="96">
        <v>829877</v>
      </c>
      <c r="SZ6" s="96">
        <v>1417745</v>
      </c>
      <c r="TA6" s="96">
        <v>2673958</v>
      </c>
      <c r="TB6" s="96">
        <v>1069733</v>
      </c>
      <c r="TC6" s="96"/>
      <c r="TD6" s="96">
        <v>8798769</v>
      </c>
      <c r="TE6" s="96">
        <v>9051811</v>
      </c>
      <c r="TF6" s="96">
        <v>270060</v>
      </c>
      <c r="TG6" s="96">
        <v>216876</v>
      </c>
      <c r="TH6" s="96"/>
      <c r="TI6" s="96"/>
      <c r="TJ6" s="96"/>
      <c r="TK6" s="96"/>
      <c r="TL6" s="96">
        <v>1279838</v>
      </c>
      <c r="TM6" s="96">
        <v>1331219</v>
      </c>
      <c r="TN6" s="96"/>
      <c r="TO6" s="96">
        <v>31703</v>
      </c>
      <c r="TP6" s="96">
        <v>2560224</v>
      </c>
      <c r="TQ6" s="96">
        <v>2706005</v>
      </c>
      <c r="TR6" s="96">
        <v>66682675</v>
      </c>
      <c r="TS6" s="96">
        <v>60882204</v>
      </c>
      <c r="TT6" s="96">
        <v>1235330</v>
      </c>
      <c r="TU6" s="96">
        <v>1235330</v>
      </c>
      <c r="TV6" s="96">
        <v>754069000</v>
      </c>
      <c r="TW6" s="96">
        <v>733530000</v>
      </c>
      <c r="TX6" s="96">
        <v>6536577</v>
      </c>
      <c r="TY6" s="96">
        <v>6866672</v>
      </c>
      <c r="TZ6" s="96">
        <v>17819109</v>
      </c>
      <c r="UA6" s="96">
        <v>17366397</v>
      </c>
      <c r="UB6" s="96">
        <v>2254308</v>
      </c>
      <c r="UC6" s="96"/>
      <c r="UD6" s="96">
        <v>48258000</v>
      </c>
      <c r="UE6" s="96">
        <v>59154000</v>
      </c>
      <c r="UF6" s="96">
        <v>119028</v>
      </c>
      <c r="UG6" s="96">
        <v>285005</v>
      </c>
      <c r="UH6" s="96">
        <v>1103761</v>
      </c>
      <c r="UI6" s="96">
        <v>1074293</v>
      </c>
      <c r="UJ6" s="96">
        <v>8328128</v>
      </c>
      <c r="UK6" s="96">
        <v>7777969</v>
      </c>
      <c r="UL6" s="96"/>
      <c r="UM6" s="96"/>
      <c r="UN6" s="96">
        <v>731488</v>
      </c>
      <c r="UO6" s="96">
        <v>734245</v>
      </c>
      <c r="UP6" s="96">
        <v>1915860</v>
      </c>
      <c r="UQ6" s="96">
        <v>1823562</v>
      </c>
      <c r="UR6" s="96">
        <v>2512757</v>
      </c>
      <c r="US6" s="96">
        <v>2113647</v>
      </c>
      <c r="UT6" s="96">
        <v>1218054</v>
      </c>
      <c r="UU6" s="96"/>
      <c r="UV6" s="96">
        <v>501540</v>
      </c>
      <c r="UW6" s="96">
        <v>806867</v>
      </c>
      <c r="UX6" s="96">
        <v>9958203</v>
      </c>
      <c r="UY6" s="96">
        <v>8900632</v>
      </c>
      <c r="UZ6" s="96">
        <v>497065</v>
      </c>
      <c r="VA6" s="96">
        <v>584935</v>
      </c>
      <c r="VB6" s="96">
        <v>1319624</v>
      </c>
      <c r="VC6" s="96">
        <v>11670285</v>
      </c>
      <c r="VD6" s="96">
        <v>3130612</v>
      </c>
      <c r="VE6" s="96">
        <v>4879542</v>
      </c>
      <c r="VF6" s="96">
        <v>970557</v>
      </c>
      <c r="VG6" s="96"/>
      <c r="VH6" s="96">
        <v>101604</v>
      </c>
      <c r="VI6" s="96">
        <v>101604</v>
      </c>
      <c r="VJ6" s="96">
        <v>216000</v>
      </c>
      <c r="VK6" s="96">
        <v>216000</v>
      </c>
      <c r="VL6" s="96"/>
      <c r="VM6" s="96">
        <v>1441351</v>
      </c>
      <c r="VN6" s="96">
        <v>4056218</v>
      </c>
      <c r="VO6" s="96"/>
      <c r="VP6" s="96">
        <v>75142696</v>
      </c>
      <c r="VQ6" s="96">
        <v>70161333</v>
      </c>
      <c r="VR6" s="96">
        <v>1018710</v>
      </c>
      <c r="VS6" s="96">
        <v>1015929</v>
      </c>
      <c r="VT6" s="96">
        <v>977291</v>
      </c>
      <c r="VU6" s="96">
        <v>930895</v>
      </c>
      <c r="VV6" s="96">
        <v>871989</v>
      </c>
      <c r="VW6" s="96">
        <v>871989</v>
      </c>
      <c r="VX6" s="96">
        <v>4812958</v>
      </c>
      <c r="VY6" s="96">
        <v>4222802</v>
      </c>
      <c r="VZ6" s="96">
        <v>1344027</v>
      </c>
      <c r="WA6" s="96">
        <v>1056145</v>
      </c>
      <c r="WB6" s="96">
        <v>1162162</v>
      </c>
      <c r="WC6" s="96">
        <v>1964476</v>
      </c>
      <c r="WD6" s="96">
        <v>1264253</v>
      </c>
      <c r="WE6" s="96">
        <v>952029</v>
      </c>
      <c r="WF6" s="96"/>
      <c r="WG6" s="96"/>
      <c r="WH6" s="96"/>
      <c r="WI6" s="96"/>
      <c r="WJ6" s="96">
        <v>173726</v>
      </c>
      <c r="WK6" s="96">
        <v>133726</v>
      </c>
      <c r="WL6" s="96">
        <v>400932</v>
      </c>
      <c r="WM6" s="96">
        <v>445532</v>
      </c>
      <c r="WN6" s="96">
        <v>740425</v>
      </c>
      <c r="WO6" s="96">
        <v>640323</v>
      </c>
      <c r="WP6" s="96"/>
      <c r="WQ6" s="96"/>
      <c r="WR6" s="96">
        <v>44941</v>
      </c>
      <c r="WS6" s="96">
        <v>39675</v>
      </c>
      <c r="WT6" s="96">
        <v>872995</v>
      </c>
      <c r="WU6" s="96">
        <v>881454</v>
      </c>
      <c r="WV6" s="96">
        <v>496492</v>
      </c>
      <c r="WW6" s="96">
        <v>487384</v>
      </c>
      <c r="WX6" s="96">
        <v>3849898</v>
      </c>
      <c r="WY6" s="96">
        <v>659847</v>
      </c>
      <c r="WZ6" s="96"/>
      <c r="XA6" s="96">
        <v>1801414</v>
      </c>
      <c r="XB6" s="96">
        <v>438865</v>
      </c>
      <c r="XC6" s="96">
        <v>334067</v>
      </c>
      <c r="XD6" s="96">
        <v>689473</v>
      </c>
      <c r="XE6" s="96">
        <v>756688</v>
      </c>
      <c r="XF6" s="96">
        <v>2673958</v>
      </c>
      <c r="XG6" s="96">
        <v>2618632</v>
      </c>
      <c r="XH6" s="96">
        <v>1039681</v>
      </c>
      <c r="XI6" s="96">
        <v>1054586</v>
      </c>
      <c r="XJ6" s="96">
        <v>9051811</v>
      </c>
      <c r="XK6" s="96">
        <v>9406472</v>
      </c>
      <c r="XL6" s="96">
        <v>216876</v>
      </c>
      <c r="XM6" s="96">
        <v>216876</v>
      </c>
      <c r="XN6" s="96"/>
      <c r="XO6" s="96"/>
      <c r="XP6" s="96"/>
      <c r="XQ6" s="96"/>
      <c r="XR6" s="96">
        <v>1331219</v>
      </c>
      <c r="XS6" s="96">
        <v>1272952</v>
      </c>
      <c r="XT6" s="96">
        <v>31703</v>
      </c>
      <c r="XU6" s="96">
        <v>33981</v>
      </c>
      <c r="XV6" s="96">
        <v>2754928</v>
      </c>
      <c r="XW6" s="96">
        <v>3046631</v>
      </c>
      <c r="XX6" s="96">
        <v>60882204</v>
      </c>
      <c r="XY6" s="96">
        <v>49394577</v>
      </c>
      <c r="XZ6" s="96">
        <v>1360049</v>
      </c>
      <c r="YA6" s="96">
        <v>3853767</v>
      </c>
      <c r="YB6" s="96">
        <v>733530</v>
      </c>
      <c r="YC6" s="96">
        <v>711526</v>
      </c>
      <c r="YD6" s="96">
        <v>8154691</v>
      </c>
      <c r="YE6" s="96">
        <v>8230083</v>
      </c>
      <c r="YF6" s="96">
        <v>17366397</v>
      </c>
      <c r="YG6" s="96">
        <v>18645039</v>
      </c>
      <c r="YH6" s="96"/>
      <c r="YI6" s="96"/>
      <c r="YJ6" s="96">
        <v>59154000</v>
      </c>
      <c r="YK6" s="96"/>
      <c r="YL6" s="96">
        <v>682793370</v>
      </c>
      <c r="YM6" s="96">
        <v>639768314</v>
      </c>
      <c r="YN6" s="96">
        <v>1074293</v>
      </c>
      <c r="YO6" s="96">
        <v>1074293</v>
      </c>
      <c r="YP6" s="96">
        <v>7777969</v>
      </c>
      <c r="YQ6" s="96">
        <v>7203522</v>
      </c>
      <c r="YR6" s="96"/>
      <c r="YS6" s="96"/>
      <c r="YT6" s="96">
        <v>734245</v>
      </c>
      <c r="YU6" s="96">
        <v>643958</v>
      </c>
      <c r="YV6" s="96">
        <v>1823562</v>
      </c>
      <c r="YW6" s="96">
        <v>1426782</v>
      </c>
      <c r="YX6" s="96">
        <v>2113647</v>
      </c>
      <c r="YY6" s="96">
        <v>7130631</v>
      </c>
      <c r="YZ6" s="96">
        <v>1152310</v>
      </c>
      <c r="ZA6" s="96">
        <v>1152310</v>
      </c>
      <c r="ZB6" s="96">
        <v>806867</v>
      </c>
      <c r="ZC6" s="96">
        <v>1365310</v>
      </c>
      <c r="ZD6" s="96">
        <v>8900632</v>
      </c>
      <c r="ZE6" s="96">
        <v>8757855</v>
      </c>
      <c r="ZF6" s="96">
        <v>584935</v>
      </c>
      <c r="ZG6" s="96">
        <v>584935</v>
      </c>
      <c r="ZH6" s="96">
        <v>11670285</v>
      </c>
      <c r="ZI6" s="96">
        <v>11633932</v>
      </c>
      <c r="ZJ6" s="96">
        <v>4879542</v>
      </c>
      <c r="ZK6" s="96">
        <v>4453968</v>
      </c>
      <c r="ZL6" s="96"/>
      <c r="ZM6" s="96"/>
      <c r="ZN6" s="96">
        <v>101604</v>
      </c>
      <c r="ZO6" s="96">
        <v>97835</v>
      </c>
      <c r="ZP6" s="96">
        <v>216000</v>
      </c>
      <c r="ZQ6" s="96"/>
      <c r="ZR6" s="96">
        <v>1441351</v>
      </c>
      <c r="ZS6" s="96">
        <v>1439589</v>
      </c>
      <c r="ZT6" s="96"/>
      <c r="ZU6" s="96"/>
      <c r="ZV6" s="96">
        <v>70161333</v>
      </c>
      <c r="ZW6" s="96">
        <v>71112445</v>
      </c>
      <c r="ZX6" s="96">
        <v>989106</v>
      </c>
      <c r="ZY6" s="96">
        <v>1522446</v>
      </c>
      <c r="ZZ6" s="737">
        <v>256474</v>
      </c>
      <c r="AAA6" s="737">
        <v>55000</v>
      </c>
      <c r="AAB6" s="737">
        <v>797031</v>
      </c>
      <c r="AAC6" s="737">
        <v>567064</v>
      </c>
      <c r="AAD6" s="737">
        <v>1509004</v>
      </c>
      <c r="AAE6" s="737">
        <v>2272515</v>
      </c>
      <c r="AAF6" s="737">
        <v>952029</v>
      </c>
      <c r="AAG6" s="737">
        <v>92194</v>
      </c>
      <c r="AAH6" s="737">
        <v>199335</v>
      </c>
      <c r="AAI6" s="737">
        <v>225946</v>
      </c>
      <c r="AAJ6" s="737">
        <v>153647</v>
      </c>
      <c r="AAK6" s="737">
        <v>455341</v>
      </c>
      <c r="AAL6" s="737">
        <v>405350</v>
      </c>
      <c r="AAM6" s="737">
        <v>367622</v>
      </c>
      <c r="AAN6" s="737">
        <v>3914975</v>
      </c>
      <c r="AAO6" s="737">
        <v>3602901</v>
      </c>
      <c r="AAP6" s="737">
        <v>1757036</v>
      </c>
      <c r="AAQ6" s="737">
        <v>1712658</v>
      </c>
      <c r="AAR6" s="737">
        <v>149172</v>
      </c>
      <c r="AAS6" s="737">
        <v>43249</v>
      </c>
      <c r="AAT6" s="738"/>
      <c r="AAU6" s="754">
        <v>161465</v>
      </c>
      <c r="AAV6" s="741">
        <v>598160</v>
      </c>
      <c r="AAW6" s="741">
        <v>598160</v>
      </c>
      <c r="AAX6" s="737">
        <v>2832069</v>
      </c>
      <c r="AAY6" s="737">
        <v>2289685</v>
      </c>
      <c r="AAZ6" s="737">
        <v>653086</v>
      </c>
      <c r="ABA6" s="737">
        <v>583216</v>
      </c>
      <c r="ABB6" s="737">
        <v>369197</v>
      </c>
      <c r="ABC6" s="737">
        <v>365622</v>
      </c>
      <c r="ABD6" s="737">
        <v>1082204</v>
      </c>
      <c r="ABE6" s="739">
        <v>3764439</v>
      </c>
      <c r="ABF6" s="739">
        <v>56817</v>
      </c>
      <c r="ABG6" s="739">
        <v>56817</v>
      </c>
      <c r="ABH6" s="738">
        <v>4420680</v>
      </c>
      <c r="ABI6" s="737">
        <v>4912419</v>
      </c>
      <c r="ABJ6" s="737">
        <v>86695127</v>
      </c>
      <c r="ABK6" s="737">
        <v>81021321</v>
      </c>
      <c r="ABL6" s="737">
        <v>5545534</v>
      </c>
      <c r="ABM6" s="741">
        <v>4872139</v>
      </c>
      <c r="ABN6" s="737">
        <v>713134</v>
      </c>
      <c r="ABO6" s="737">
        <v>713134</v>
      </c>
      <c r="ABP6" s="737">
        <v>850212</v>
      </c>
      <c r="ABQ6" s="737">
        <v>971692</v>
      </c>
      <c r="ABR6" s="737">
        <v>160382526</v>
      </c>
      <c r="ABS6" s="737">
        <v>62593399</v>
      </c>
      <c r="ABT6" s="737">
        <v>4364945</v>
      </c>
      <c r="ABU6" s="737">
        <v>4624558</v>
      </c>
      <c r="ABV6" s="737">
        <v>92315000</v>
      </c>
      <c r="ABW6" s="737">
        <v>161709000</v>
      </c>
      <c r="ABX6" s="737">
        <v>1021753</v>
      </c>
      <c r="ABY6" s="737">
        <v>955268</v>
      </c>
      <c r="ABZ6" s="737">
        <v>12767413</v>
      </c>
      <c r="ACA6" s="737">
        <v>15762971</v>
      </c>
      <c r="ACB6" s="737">
        <v>7214238</v>
      </c>
      <c r="ACC6" s="737">
        <v>6407520</v>
      </c>
      <c r="ACD6" s="737">
        <v>995034</v>
      </c>
      <c r="ACE6" s="737">
        <v>1499008</v>
      </c>
      <c r="ACF6" s="737">
        <v>2629431</v>
      </c>
      <c r="ACG6" s="739">
        <v>2620337</v>
      </c>
      <c r="ACH6" s="737">
        <v>19196862</v>
      </c>
      <c r="ACI6" s="737">
        <v>18095161</v>
      </c>
      <c r="ACJ6" s="737">
        <v>1152310</v>
      </c>
      <c r="ACK6" s="739">
        <v>1152310</v>
      </c>
      <c r="ACL6" s="737">
        <v>14603157</v>
      </c>
      <c r="ACM6" s="737">
        <v>15394581</v>
      </c>
      <c r="ACN6" s="737">
        <v>716330</v>
      </c>
      <c r="ACO6" s="737">
        <v>723830</v>
      </c>
      <c r="ACP6" s="737">
        <v>16851477</v>
      </c>
      <c r="ACQ6" s="743">
        <v>19533098</v>
      </c>
      <c r="ACR6" s="743">
        <v>1145435</v>
      </c>
      <c r="ACS6" s="743">
        <v>1179445</v>
      </c>
      <c r="ACT6" s="737">
        <v>93196</v>
      </c>
      <c r="ACU6" s="737">
        <v>88558</v>
      </c>
      <c r="ACV6" s="737">
        <v>227388</v>
      </c>
      <c r="ACW6" s="737">
        <v>226188</v>
      </c>
      <c r="ACX6" s="737">
        <v>230587622</v>
      </c>
      <c r="ACY6" s="737">
        <v>222675180</v>
      </c>
      <c r="ACZ6" s="744">
        <v>1500395</v>
      </c>
      <c r="ADA6" s="744">
        <v>1961008</v>
      </c>
      <c r="ADB6" s="744">
        <v>1642728</v>
      </c>
      <c r="ADC6" s="755">
        <v>1982969</v>
      </c>
      <c r="ADD6" s="745">
        <v>4025098321</v>
      </c>
      <c r="ADE6" s="745">
        <v>4334581379</v>
      </c>
      <c r="ADF6" s="746">
        <v>2263743232</v>
      </c>
      <c r="ADG6" s="746">
        <v>2262311561</v>
      </c>
      <c r="ADH6" s="744">
        <v>92194392</v>
      </c>
      <c r="ADI6" s="744">
        <v>92194392</v>
      </c>
      <c r="ADJ6" s="746">
        <v>1668280000</v>
      </c>
      <c r="ADK6" s="746">
        <v>1619780000</v>
      </c>
      <c r="ADL6" s="744"/>
      <c r="ADM6" s="744"/>
      <c r="ADN6" s="746">
        <v>471949581</v>
      </c>
      <c r="ADO6" s="746">
        <v>471949581</v>
      </c>
      <c r="ADP6" s="747">
        <v>2533819952</v>
      </c>
      <c r="ADQ6" s="747">
        <v>2531090905</v>
      </c>
      <c r="ADR6" s="746"/>
      <c r="ADS6" s="746"/>
      <c r="ADT6" s="746">
        <v>1051989000</v>
      </c>
      <c r="ADU6" s="746">
        <v>1051989000</v>
      </c>
      <c r="ADV6" s="746">
        <v>2293977830</v>
      </c>
      <c r="ADW6" s="746">
        <v>2104503901</v>
      </c>
      <c r="ADX6" s="746">
        <v>772889446</v>
      </c>
      <c r="ADY6" s="746">
        <v>874759000</v>
      </c>
      <c r="ADZ6" s="746">
        <v>4561788130.6499996</v>
      </c>
      <c r="AEA6" s="746">
        <f>4224429473.05+295054770.9</f>
        <v>4519484243.9499998</v>
      </c>
      <c r="AEB6" s="746">
        <v>4904657766</v>
      </c>
      <c r="AEC6" s="746">
        <v>5893981674</v>
      </c>
      <c r="AED6" s="746">
        <v>63170000</v>
      </c>
      <c r="AEE6" s="746">
        <v>60451026</v>
      </c>
      <c r="AEF6" s="748">
        <v>172625463</v>
      </c>
      <c r="AEG6" s="748">
        <v>9255743650</v>
      </c>
      <c r="AEH6" s="746">
        <v>81834477</v>
      </c>
      <c r="AEI6" s="746">
        <v>90495780</v>
      </c>
      <c r="AEJ6" s="746">
        <v>4172505710</v>
      </c>
      <c r="AEK6" s="746">
        <v>3574360020</v>
      </c>
      <c r="AEL6" s="746">
        <v>948679545</v>
      </c>
      <c r="AEM6" s="746">
        <v>970631016</v>
      </c>
      <c r="AEN6" s="744">
        <v>7366729</v>
      </c>
      <c r="AEO6" s="744">
        <v>8651482</v>
      </c>
      <c r="AEP6" s="746">
        <v>64275997520</v>
      </c>
      <c r="AEQ6" s="746">
        <v>49521333073</v>
      </c>
      <c r="AER6" s="744"/>
      <c r="AES6" s="744"/>
      <c r="AET6" s="744"/>
      <c r="AEU6" s="744"/>
      <c r="AEV6" s="744">
        <v>148339000</v>
      </c>
      <c r="AEW6" s="744">
        <v>128916000</v>
      </c>
      <c r="AEX6" s="746">
        <v>905364475</v>
      </c>
      <c r="AEY6" s="746">
        <v>856818669</v>
      </c>
      <c r="AEZ6" s="749"/>
      <c r="AFA6" s="750"/>
      <c r="AFB6" s="746">
        <v>15219720432</v>
      </c>
      <c r="AFC6" s="746">
        <v>15376648645</v>
      </c>
      <c r="AFD6" s="746">
        <v>449510458</v>
      </c>
      <c r="AFE6" s="746">
        <v>440772197</v>
      </c>
      <c r="AFF6" s="746">
        <v>2768794211</v>
      </c>
      <c r="AFG6" s="746">
        <v>2841631612</v>
      </c>
      <c r="AFH6" s="746">
        <v>3886028008</v>
      </c>
      <c r="AFI6" s="746">
        <v>3268009669</v>
      </c>
      <c r="AFJ6" s="746">
        <v>3783719394</v>
      </c>
      <c r="AFK6" s="746">
        <v>3457150217</v>
      </c>
      <c r="AFL6" s="744">
        <v>719330</v>
      </c>
      <c r="AFM6" s="744">
        <v>860658</v>
      </c>
      <c r="AFN6" s="744">
        <v>18467651</v>
      </c>
      <c r="AFO6" s="744">
        <v>25011669</v>
      </c>
      <c r="AFP6" s="751">
        <v>19949590146</v>
      </c>
      <c r="AFQ6" s="751">
        <v>19587508065</v>
      </c>
      <c r="AFR6" s="744">
        <v>1259859212</v>
      </c>
      <c r="AFS6" s="744">
        <v>1259859212</v>
      </c>
      <c r="AFT6" s="746">
        <v>11893470000</v>
      </c>
      <c r="AFU6" s="746">
        <v>7136215259</v>
      </c>
      <c r="AFV6" s="744">
        <v>88558000</v>
      </c>
      <c r="AFW6" s="744">
        <v>88558144</v>
      </c>
      <c r="AFX6" s="746">
        <v>217664728670</v>
      </c>
      <c r="AFY6" s="746">
        <v>192473891683</v>
      </c>
      <c r="AFZ6" s="638">
        <v>440772197</v>
      </c>
      <c r="AGA6" s="638">
        <v>441415894</v>
      </c>
      <c r="AGB6" s="638">
        <v>15376648645</v>
      </c>
      <c r="AGC6" s="638">
        <v>7585235390</v>
      </c>
      <c r="AGD6" s="638">
        <v>3574360020</v>
      </c>
      <c r="AGE6" s="638">
        <v>11263998551</v>
      </c>
      <c r="AGF6" s="638">
        <v>119005473</v>
      </c>
      <c r="AGG6" s="638">
        <v>126584299</v>
      </c>
      <c r="AGH6" s="638">
        <v>2262311560</v>
      </c>
      <c r="AGI6" s="638">
        <v>2261157176</v>
      </c>
      <c r="AGJ6" s="752">
        <v>6645464</v>
      </c>
      <c r="AGK6" s="752">
        <v>7517415</v>
      </c>
      <c r="AGL6" s="637">
        <v>5893981674</v>
      </c>
      <c r="AGM6" s="638">
        <v>5461764805</v>
      </c>
      <c r="AGN6" s="637">
        <v>49521333073</v>
      </c>
      <c r="AGO6" s="638">
        <v>100655592378</v>
      </c>
      <c r="AGP6" s="638">
        <v>119005473</v>
      </c>
      <c r="AGQ6" s="638">
        <v>126584299</v>
      </c>
      <c r="AGR6" s="638">
        <v>8108111288</v>
      </c>
      <c r="AGS6" s="638">
        <v>9979945753</v>
      </c>
      <c r="AGT6" s="638">
        <v>860658000</v>
      </c>
      <c r="AGU6" s="638">
        <v>726645000</v>
      </c>
      <c r="AGV6" s="638">
        <v>10091756000</v>
      </c>
      <c r="AGW6" s="638">
        <v>9627066792</v>
      </c>
      <c r="AGX6" s="638">
        <v>85000000</v>
      </c>
      <c r="AGY6" s="638">
        <v>85000000</v>
      </c>
      <c r="AGZ6" s="638">
        <v>4872747840</v>
      </c>
      <c r="AHA6" s="638">
        <v>4724889145</v>
      </c>
      <c r="AHB6" s="638">
        <v>619111713</v>
      </c>
      <c r="AHC6" s="638">
        <v>666761705</v>
      </c>
      <c r="AHD6" s="638">
        <v>970631016</v>
      </c>
      <c r="AHE6" s="638">
        <v>1263613116</v>
      </c>
      <c r="AHF6" s="638">
        <v>46018959000</v>
      </c>
      <c r="AHG6" s="638">
        <v>47848316000</v>
      </c>
      <c r="AHH6" s="638">
        <v>9088263154</v>
      </c>
      <c r="AHI6" s="638">
        <v>10192786341</v>
      </c>
      <c r="AHJ6" s="638">
        <v>874759000</v>
      </c>
      <c r="AHK6" s="638">
        <v>727108000</v>
      </c>
      <c r="AHL6" s="638">
        <v>231229000</v>
      </c>
      <c r="AHM6" s="638">
        <v>26946000</v>
      </c>
      <c r="AHN6" s="638">
        <v>3268009669</v>
      </c>
      <c r="AHO6" s="638">
        <v>3229011923</v>
      </c>
      <c r="AHP6" s="638">
        <v>1982970264</v>
      </c>
      <c r="AHQ6" s="638">
        <v>2891404753</v>
      </c>
      <c r="AHR6" s="638">
        <v>1096687000</v>
      </c>
      <c r="AHS6" s="638">
        <v>1109145000</v>
      </c>
      <c r="AHT6" s="638">
        <v>2104503901</v>
      </c>
      <c r="AHU6" s="638">
        <v>1312155313</v>
      </c>
      <c r="AHV6" s="638">
        <v>1619780000</v>
      </c>
      <c r="AHW6" s="638">
        <v>1575402000</v>
      </c>
      <c r="AHX6" s="638">
        <v>4334581379</v>
      </c>
      <c r="AHY6" s="638">
        <v>3927059863</v>
      </c>
      <c r="AHZ6" s="638">
        <v>2841631613</v>
      </c>
      <c r="AIA6" s="638">
        <v>3079570808</v>
      </c>
      <c r="AIB6" s="638">
        <v>4115281923</v>
      </c>
      <c r="AIC6" s="638">
        <v>4115281923</v>
      </c>
      <c r="AID6" s="638">
        <v>128916000000</v>
      </c>
      <c r="AIE6" s="638">
        <v>118301000000</v>
      </c>
      <c r="AIF6" s="638">
        <v>464414000</v>
      </c>
      <c r="AIG6" s="638">
        <v>498765000</v>
      </c>
      <c r="AIH6" s="644"/>
      <c r="AII6" s="638">
        <v>88558144</v>
      </c>
      <c r="AIJ6" s="638">
        <v>52593074</v>
      </c>
      <c r="AIK6" s="638">
        <v>123766322</v>
      </c>
      <c r="AIL6" s="638">
        <v>6719569224</v>
      </c>
      <c r="AIM6" s="638">
        <v>4808434299</v>
      </c>
      <c r="AIN6" s="644"/>
      <c r="AIO6" s="638">
        <v>607801</v>
      </c>
      <c r="AIP6" s="644"/>
      <c r="AIQ6" s="638">
        <v>213000000</v>
      </c>
      <c r="AIR6" s="637">
        <v>25011669000</v>
      </c>
      <c r="AIS6" s="637">
        <v>25016366000</v>
      </c>
      <c r="AIT6" s="637">
        <v>2531090905</v>
      </c>
      <c r="AIU6" s="637">
        <v>2404940905</v>
      </c>
      <c r="AIV6" s="637">
        <v>2428670247</v>
      </c>
      <c r="AIW6" s="637">
        <v>2541486256</v>
      </c>
      <c r="AIX6" s="638">
        <v>1141767</v>
      </c>
      <c r="AIY6" s="638">
        <v>1173562</v>
      </c>
      <c r="AIZ6" s="638">
        <v>790966798</v>
      </c>
      <c r="AJA6" s="638">
        <v>706621455</v>
      </c>
      <c r="AJB6" s="638">
        <v>90495780000</v>
      </c>
      <c r="AJC6" s="638">
        <v>84885730000</v>
      </c>
      <c r="AJD6" s="638">
        <v>110248000</v>
      </c>
      <c r="AJE6" s="638">
        <v>110248000</v>
      </c>
      <c r="AJF6" s="638">
        <v>128916000000</v>
      </c>
      <c r="AJG6" s="638">
        <v>118301000000</v>
      </c>
      <c r="AJH6" s="638">
        <v>856818669</v>
      </c>
      <c r="AJI6" s="638">
        <v>815419888</v>
      </c>
      <c r="AJJ6" s="638">
        <v>19587508066</v>
      </c>
      <c r="AJK6" s="638">
        <v>19835656200</v>
      </c>
      <c r="AJL6" s="638">
        <v>3677903219</v>
      </c>
      <c r="AJM6" s="638">
        <v>3707653219</v>
      </c>
      <c r="AJN6" s="638">
        <v>1259859212</v>
      </c>
      <c r="AJO6" s="638">
        <v>1190277711</v>
      </c>
    </row>
    <row r="7" spans="1:951" x14ac:dyDescent="0.25">
      <c r="A7" s="91" t="s">
        <v>9</v>
      </c>
      <c r="B7" s="96">
        <v>0</v>
      </c>
      <c r="C7" s="96">
        <v>610164.24199999997</v>
      </c>
      <c r="D7" s="96">
        <v>720836.33600000001</v>
      </c>
      <c r="E7" s="96"/>
      <c r="F7" s="96">
        <v>959020</v>
      </c>
      <c r="G7" s="96">
        <v>26106</v>
      </c>
      <c r="H7" s="96">
        <v>215642</v>
      </c>
      <c r="I7" s="96">
        <v>216431.57699999999</v>
      </c>
      <c r="J7" s="96">
        <v>233121</v>
      </c>
      <c r="K7" s="96"/>
      <c r="L7" s="96">
        <v>1573295.6059999999</v>
      </c>
      <c r="M7" s="96">
        <v>1992692.952</v>
      </c>
      <c r="N7" s="96">
        <v>1815956.7949999999</v>
      </c>
      <c r="O7" s="96">
        <v>236452</v>
      </c>
      <c r="P7" s="96">
        <v>1500000</v>
      </c>
      <c r="Q7" s="96">
        <v>0</v>
      </c>
      <c r="R7" s="96">
        <v>381536.88099999999</v>
      </c>
      <c r="S7" s="96">
        <v>342635</v>
      </c>
      <c r="T7" s="96">
        <v>320000</v>
      </c>
      <c r="U7" s="96">
        <v>329120</v>
      </c>
      <c r="V7" s="96">
        <v>0</v>
      </c>
      <c r="W7" s="96">
        <v>0</v>
      </c>
      <c r="X7" s="96">
        <v>0</v>
      </c>
      <c r="Y7" s="96">
        <v>0</v>
      </c>
      <c r="Z7" s="96">
        <v>0</v>
      </c>
      <c r="AA7" s="96">
        <v>0</v>
      </c>
      <c r="AB7" s="96">
        <v>0</v>
      </c>
      <c r="AC7" s="96">
        <v>0</v>
      </c>
      <c r="AD7" s="96">
        <v>0</v>
      </c>
      <c r="AE7" s="96"/>
      <c r="AF7" s="96">
        <v>0</v>
      </c>
      <c r="AG7" s="96">
        <v>0</v>
      </c>
      <c r="AH7" s="96">
        <v>17380.364000000001</v>
      </c>
      <c r="AI7" s="96">
        <v>270597</v>
      </c>
      <c r="AJ7" s="96">
        <v>199018</v>
      </c>
      <c r="AK7" s="96">
        <v>0</v>
      </c>
      <c r="AL7" s="96">
        <v>0</v>
      </c>
      <c r="AM7" s="96">
        <v>0</v>
      </c>
      <c r="AN7" s="96"/>
      <c r="AO7" s="96"/>
      <c r="AP7" s="96">
        <v>0</v>
      </c>
      <c r="AQ7" s="96">
        <v>329370</v>
      </c>
      <c r="AR7" s="96">
        <v>329369</v>
      </c>
      <c r="AS7" s="96">
        <v>320407</v>
      </c>
      <c r="AT7" s="96">
        <v>320407</v>
      </c>
      <c r="AU7" s="96"/>
      <c r="AV7" s="96"/>
      <c r="AW7" s="96">
        <v>0</v>
      </c>
      <c r="AX7" s="96">
        <v>0</v>
      </c>
      <c r="AY7" s="96">
        <v>0</v>
      </c>
      <c r="AZ7" s="96">
        <v>54386.603000000003</v>
      </c>
      <c r="BA7" s="96">
        <v>42733.96</v>
      </c>
      <c r="BB7" s="96">
        <v>350</v>
      </c>
      <c r="BC7" s="96">
        <v>350</v>
      </c>
      <c r="BD7" s="96">
        <v>350</v>
      </c>
      <c r="BE7" s="96">
        <v>0</v>
      </c>
      <c r="BF7" s="96">
        <v>14794.643</v>
      </c>
      <c r="BG7" s="96">
        <v>21005.89</v>
      </c>
      <c r="BH7" s="96"/>
      <c r="BI7" s="96"/>
      <c r="BJ7" s="96"/>
      <c r="BK7" s="96"/>
      <c r="BL7" s="96"/>
      <c r="BM7" s="96"/>
      <c r="BN7" s="96">
        <v>127609</v>
      </c>
      <c r="BO7" s="96"/>
      <c r="BP7" s="96"/>
      <c r="BQ7" s="96"/>
      <c r="BR7" s="96">
        <v>1847429</v>
      </c>
      <c r="BS7" s="96">
        <v>1603100</v>
      </c>
      <c r="BT7" s="96">
        <v>262187.26699999999</v>
      </c>
      <c r="BU7" s="96">
        <v>262187.255</v>
      </c>
      <c r="BV7" s="96">
        <v>266747</v>
      </c>
      <c r="BW7" s="96">
        <v>266971</v>
      </c>
      <c r="BX7" s="96">
        <v>370849</v>
      </c>
      <c r="BY7" s="96">
        <v>0</v>
      </c>
      <c r="BZ7" s="96">
        <v>243452.269</v>
      </c>
      <c r="CA7" s="96">
        <v>355258.92700000003</v>
      </c>
      <c r="CB7" s="96">
        <v>230361</v>
      </c>
      <c r="CC7" s="96">
        <v>230360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v>0</v>
      </c>
      <c r="CJ7" s="96">
        <v>0</v>
      </c>
      <c r="CK7" s="96">
        <v>39.771000000000001</v>
      </c>
      <c r="CL7" s="96">
        <v>13788</v>
      </c>
      <c r="CM7" s="96"/>
      <c r="CN7" s="96">
        <v>0</v>
      </c>
      <c r="CO7" s="96">
        <v>0</v>
      </c>
      <c r="CP7" s="96">
        <v>0</v>
      </c>
      <c r="CQ7" s="96">
        <v>0</v>
      </c>
      <c r="CR7" s="96">
        <v>1600</v>
      </c>
      <c r="CS7" s="96">
        <v>0</v>
      </c>
      <c r="CT7" s="96">
        <v>259734.6</v>
      </c>
      <c r="CU7" s="96">
        <v>404824</v>
      </c>
      <c r="CV7" s="96">
        <v>404824</v>
      </c>
      <c r="CW7" s="96"/>
      <c r="CX7" s="96">
        <v>0</v>
      </c>
      <c r="CY7" s="96">
        <v>0</v>
      </c>
      <c r="CZ7" s="96">
        <v>0</v>
      </c>
      <c r="DA7" s="96"/>
      <c r="DB7" s="96"/>
      <c r="DC7" s="96">
        <v>0</v>
      </c>
      <c r="DD7" s="96">
        <v>0</v>
      </c>
      <c r="DE7" s="96">
        <v>0</v>
      </c>
      <c r="DF7" s="96">
        <v>2078</v>
      </c>
      <c r="DG7" s="96">
        <v>928</v>
      </c>
      <c r="DH7" s="96">
        <v>0</v>
      </c>
      <c r="DI7" s="96">
        <v>0</v>
      </c>
      <c r="DJ7" s="96"/>
      <c r="DK7" s="96"/>
      <c r="DL7" s="96"/>
      <c r="DM7" s="102">
        <v>699996</v>
      </c>
      <c r="DN7" s="96">
        <v>699996</v>
      </c>
      <c r="DO7" s="96">
        <v>5933025</v>
      </c>
      <c r="DP7" s="96">
        <v>5933025</v>
      </c>
      <c r="DQ7" s="96">
        <v>5933025</v>
      </c>
      <c r="DR7" s="96">
        <v>0</v>
      </c>
      <c r="DS7" s="96">
        <v>0</v>
      </c>
      <c r="DT7" s="96">
        <v>0</v>
      </c>
      <c r="DU7" s="96">
        <v>65234662</v>
      </c>
      <c r="DV7" s="96">
        <v>71111532</v>
      </c>
      <c r="DW7" s="96">
        <v>81992.676000000007</v>
      </c>
      <c r="DX7" s="96">
        <v>285186.82299999997</v>
      </c>
      <c r="DY7" s="96">
        <v>165800.76999999999</v>
      </c>
      <c r="DZ7" s="96">
        <v>187025</v>
      </c>
      <c r="EA7" s="96">
        <v>246361</v>
      </c>
      <c r="EB7" s="96"/>
      <c r="EC7" s="96"/>
      <c r="ED7" s="96"/>
      <c r="EE7" s="96"/>
      <c r="EF7" s="96"/>
      <c r="EG7" s="96"/>
      <c r="EH7" s="96"/>
      <c r="EI7" s="96"/>
      <c r="EJ7" s="96">
        <v>1699760</v>
      </c>
      <c r="EK7" s="96">
        <v>1699760</v>
      </c>
      <c r="EL7" s="96"/>
      <c r="EM7" s="96"/>
      <c r="EN7" s="96"/>
      <c r="EO7" s="96">
        <v>307166</v>
      </c>
      <c r="EP7" s="96">
        <v>232921</v>
      </c>
      <c r="EQ7" s="96"/>
      <c r="ER7" s="96"/>
      <c r="ES7" s="96"/>
      <c r="ET7" s="96"/>
      <c r="EU7" s="96"/>
      <c r="EV7" s="96">
        <v>1219986</v>
      </c>
      <c r="EW7" s="96">
        <v>1280357</v>
      </c>
      <c r="EX7" s="96">
        <v>1500000</v>
      </c>
      <c r="EY7" s="96">
        <v>1500000</v>
      </c>
      <c r="EZ7" s="96">
        <v>329120</v>
      </c>
      <c r="FA7" s="96">
        <v>328872</v>
      </c>
      <c r="FB7" s="96"/>
      <c r="FC7" s="96">
        <v>0</v>
      </c>
      <c r="FD7" s="96">
        <v>199018</v>
      </c>
      <c r="FE7" s="96">
        <v>107790</v>
      </c>
      <c r="FF7" s="96"/>
      <c r="FG7" s="96">
        <v>0</v>
      </c>
      <c r="FH7" s="96">
        <v>320407</v>
      </c>
      <c r="FI7" s="96"/>
      <c r="FJ7" s="96"/>
      <c r="FK7" s="96"/>
      <c r="FL7" s="96"/>
      <c r="FM7" s="96"/>
      <c r="FN7" s="96">
        <v>1603100</v>
      </c>
      <c r="FO7" s="96">
        <v>1603100</v>
      </c>
      <c r="FP7" s="96"/>
      <c r="FQ7" s="96"/>
      <c r="FR7" s="96">
        <v>370849</v>
      </c>
      <c r="FS7" s="96"/>
      <c r="FT7" s="96">
        <v>350</v>
      </c>
      <c r="FU7" s="96">
        <v>350</v>
      </c>
      <c r="FV7" s="96">
        <v>230360</v>
      </c>
      <c r="FW7" s="96">
        <v>183259</v>
      </c>
      <c r="FX7" s="96"/>
      <c r="FY7" s="96"/>
      <c r="FZ7" s="96">
        <v>0</v>
      </c>
      <c r="GA7" s="96">
        <v>0</v>
      </c>
      <c r="GB7" s="96">
        <v>127609</v>
      </c>
      <c r="GC7" s="96">
        <v>80428</v>
      </c>
      <c r="GD7" s="96">
        <v>0</v>
      </c>
      <c r="GE7" s="96">
        <v>0</v>
      </c>
      <c r="GF7" s="96"/>
      <c r="GG7" s="96"/>
      <c r="GH7" s="96">
        <v>1600</v>
      </c>
      <c r="GI7" s="96">
        <v>353848</v>
      </c>
      <c r="GJ7" s="96">
        <v>25000</v>
      </c>
      <c r="GK7" s="96">
        <v>14000</v>
      </c>
      <c r="GL7" s="96">
        <v>177723</v>
      </c>
      <c r="GM7" s="96">
        <v>143061</v>
      </c>
      <c r="GN7" s="96">
        <v>152320</v>
      </c>
      <c r="GO7" s="96">
        <v>153306</v>
      </c>
      <c r="GP7" s="96"/>
      <c r="GQ7" s="96"/>
      <c r="GR7" s="96"/>
      <c r="GS7" s="96"/>
      <c r="GT7" s="96">
        <v>511020</v>
      </c>
      <c r="GU7" s="96">
        <v>366684</v>
      </c>
      <c r="GV7" s="96"/>
      <c r="GW7" s="96">
        <v>201796</v>
      </c>
      <c r="GX7" s="96">
        <v>581797</v>
      </c>
      <c r="GY7" s="96">
        <v>626607</v>
      </c>
      <c r="GZ7" s="96">
        <v>42209565</v>
      </c>
      <c r="HA7" s="96">
        <v>64857384</v>
      </c>
      <c r="HB7" s="96">
        <v>131391</v>
      </c>
      <c r="HC7" s="96">
        <v>96291</v>
      </c>
      <c r="HD7" s="96">
        <v>437535</v>
      </c>
      <c r="HE7" s="96">
        <v>641803</v>
      </c>
      <c r="HF7" s="96">
        <v>809049</v>
      </c>
      <c r="HG7" s="96">
        <v>473276</v>
      </c>
      <c r="HH7" s="96">
        <v>10757610</v>
      </c>
      <c r="HI7" s="96">
        <v>13580726</v>
      </c>
      <c r="HJ7" s="96">
        <v>615963</v>
      </c>
      <c r="HK7" s="96">
        <v>0</v>
      </c>
      <c r="HL7" s="96">
        <v>14500961</v>
      </c>
      <c r="HM7" s="96">
        <v>24935540</v>
      </c>
      <c r="HN7" s="96">
        <v>319346</v>
      </c>
      <c r="HO7" s="96">
        <v>319346</v>
      </c>
      <c r="HP7" s="96">
        <v>549691</v>
      </c>
      <c r="HQ7" s="96">
        <v>507930</v>
      </c>
      <c r="HR7" s="96">
        <v>4722507</v>
      </c>
      <c r="HS7" s="96">
        <v>4360283</v>
      </c>
      <c r="HT7" s="96">
        <v>1699760</v>
      </c>
      <c r="HU7" s="96"/>
      <c r="HV7" s="96">
        <v>232921</v>
      </c>
      <c r="HW7" s="96">
        <v>193223</v>
      </c>
      <c r="HX7" s="96"/>
      <c r="HY7" s="96">
        <v>0</v>
      </c>
      <c r="HZ7" s="96">
        <v>295887</v>
      </c>
      <c r="IA7" s="96">
        <v>1832840</v>
      </c>
      <c r="IB7" s="96">
        <v>0</v>
      </c>
      <c r="IC7" s="96">
        <v>0</v>
      </c>
      <c r="ID7" s="96">
        <v>4426479</v>
      </c>
      <c r="IE7" s="96">
        <v>4295925</v>
      </c>
      <c r="IF7" s="96">
        <v>782420</v>
      </c>
      <c r="IG7" s="96">
        <v>788326</v>
      </c>
      <c r="IH7" s="96"/>
      <c r="II7" s="96">
        <v>0</v>
      </c>
      <c r="IJ7" s="96">
        <v>1967159</v>
      </c>
      <c r="IK7" s="96">
        <v>1701020</v>
      </c>
      <c r="IL7" s="96"/>
      <c r="IM7" s="96"/>
      <c r="IN7" s="96"/>
      <c r="IO7" s="96"/>
      <c r="IP7" s="96"/>
      <c r="IQ7" s="96">
        <v>0</v>
      </c>
      <c r="IR7" s="96">
        <v>928</v>
      </c>
      <c r="IS7" s="96">
        <v>2646</v>
      </c>
      <c r="IT7" s="96"/>
      <c r="IU7" s="96">
        <v>0</v>
      </c>
      <c r="IV7" s="96">
        <v>5933025</v>
      </c>
      <c r="IW7" s="96">
        <v>6210563</v>
      </c>
      <c r="IX7" s="96">
        <v>71111532</v>
      </c>
      <c r="IY7" s="96">
        <v>174024006</v>
      </c>
      <c r="IZ7" s="96">
        <v>246361</v>
      </c>
      <c r="JA7" s="96">
        <v>67049</v>
      </c>
      <c r="JB7" s="96">
        <v>1280357</v>
      </c>
      <c r="JC7" s="756">
        <v>1206612</v>
      </c>
      <c r="JD7" s="96">
        <v>1500000</v>
      </c>
      <c r="JE7" s="756">
        <v>1500000</v>
      </c>
      <c r="JF7" s="96">
        <v>328872</v>
      </c>
      <c r="JG7" s="96">
        <v>327078</v>
      </c>
      <c r="JH7" s="96">
        <v>0</v>
      </c>
      <c r="JI7" s="96">
        <v>0</v>
      </c>
      <c r="JJ7" s="96">
        <v>107790</v>
      </c>
      <c r="JK7" s="96">
        <v>24743</v>
      </c>
      <c r="JL7" s="96">
        <v>0</v>
      </c>
      <c r="JM7" s="96">
        <v>0</v>
      </c>
      <c r="JN7" s="96">
        <v>320407</v>
      </c>
      <c r="JO7" s="96"/>
      <c r="JP7" s="96"/>
      <c r="JQ7" s="96"/>
      <c r="JR7" s="96"/>
      <c r="JS7" s="96"/>
      <c r="JT7" s="96">
        <v>1603100</v>
      </c>
      <c r="JU7" s="756">
        <v>1483100</v>
      </c>
      <c r="JV7" s="96"/>
      <c r="JW7" s="96"/>
      <c r="JX7" s="96"/>
      <c r="JY7" s="96"/>
      <c r="JZ7" s="96">
        <v>350</v>
      </c>
      <c r="KA7" s="96">
        <v>350</v>
      </c>
      <c r="KB7" s="96">
        <v>183259</v>
      </c>
      <c r="KC7" s="756">
        <v>389765</v>
      </c>
      <c r="KD7" s="96"/>
      <c r="KE7" s="96">
        <v>51094</v>
      </c>
      <c r="KF7" s="96">
        <v>0</v>
      </c>
      <c r="KG7" s="96">
        <v>0</v>
      </c>
      <c r="KH7" s="96">
        <v>80428</v>
      </c>
      <c r="KI7" s="96"/>
      <c r="KJ7" s="96">
        <v>0</v>
      </c>
      <c r="KK7" s="96"/>
      <c r="KL7" s="96"/>
      <c r="KM7" s="96"/>
      <c r="KN7" s="96">
        <v>353848</v>
      </c>
      <c r="KO7" s="96">
        <v>1016392</v>
      </c>
      <c r="KP7" s="96">
        <v>14000</v>
      </c>
      <c r="KQ7" s="96"/>
      <c r="KR7" s="96">
        <v>143061</v>
      </c>
      <c r="KS7" s="96">
        <v>90725</v>
      </c>
      <c r="KT7" s="96">
        <v>153306</v>
      </c>
      <c r="KU7" s="96">
        <v>153306</v>
      </c>
      <c r="KV7" s="96"/>
      <c r="KW7" s="96"/>
      <c r="KX7" s="96"/>
      <c r="KY7" s="96"/>
      <c r="KZ7" s="96">
        <v>366684</v>
      </c>
      <c r="LA7" s="96">
        <v>340832</v>
      </c>
      <c r="LB7" s="96">
        <v>201796</v>
      </c>
      <c r="LC7" s="96">
        <v>201794</v>
      </c>
      <c r="LD7" s="96">
        <v>626607</v>
      </c>
      <c r="LE7" s="96">
        <v>604823</v>
      </c>
      <c r="LF7" s="96">
        <v>64857384</v>
      </c>
      <c r="LG7" s="96">
        <v>68264791</v>
      </c>
      <c r="LH7" s="96">
        <v>96291</v>
      </c>
      <c r="LI7" s="96">
        <v>100807</v>
      </c>
      <c r="LJ7" s="96">
        <v>641803</v>
      </c>
      <c r="LK7" s="96">
        <v>674691</v>
      </c>
      <c r="LL7" s="96">
        <v>473276</v>
      </c>
      <c r="LM7" s="96">
        <v>392359</v>
      </c>
      <c r="LN7" s="96">
        <v>13580726</v>
      </c>
      <c r="LO7" s="96">
        <v>12066046</v>
      </c>
      <c r="LP7" s="96">
        <v>0</v>
      </c>
      <c r="LQ7" s="96">
        <v>0</v>
      </c>
      <c r="LR7" s="96">
        <v>24935540</v>
      </c>
      <c r="LS7" s="96">
        <v>30728000</v>
      </c>
      <c r="LT7" s="96">
        <v>319346</v>
      </c>
      <c r="LU7" s="756">
        <v>319346</v>
      </c>
      <c r="LV7" s="96">
        <v>507930</v>
      </c>
      <c r="LW7" s="756">
        <v>507932</v>
      </c>
      <c r="LX7" s="96">
        <v>4360283</v>
      </c>
      <c r="LY7" s="756">
        <v>3911675</v>
      </c>
      <c r="LZ7" s="96"/>
      <c r="MA7" s="96"/>
      <c r="MB7" s="96">
        <v>193223</v>
      </c>
      <c r="MC7" s="96">
        <v>193223</v>
      </c>
      <c r="MD7" s="96">
        <v>0</v>
      </c>
      <c r="ME7" s="96">
        <v>0</v>
      </c>
      <c r="MF7" s="96">
        <v>1832840</v>
      </c>
      <c r="MG7" s="96">
        <v>2395934</v>
      </c>
      <c r="MH7" s="96">
        <v>0</v>
      </c>
      <c r="MI7" s="96">
        <v>0</v>
      </c>
      <c r="MJ7" s="96">
        <v>4295925</v>
      </c>
      <c r="MK7" s="96">
        <v>2846347</v>
      </c>
      <c r="ML7" s="96">
        <v>788326</v>
      </c>
      <c r="MM7" s="96">
        <v>721074</v>
      </c>
      <c r="MN7" s="96">
        <v>0</v>
      </c>
      <c r="MO7" s="96">
        <v>0</v>
      </c>
      <c r="MP7" s="96">
        <v>1701020</v>
      </c>
      <c r="MQ7" s="96">
        <v>8873781</v>
      </c>
      <c r="MR7" s="96"/>
      <c r="MS7" s="96"/>
      <c r="MT7" s="96"/>
      <c r="MU7" s="96"/>
      <c r="MV7" s="96">
        <v>0</v>
      </c>
      <c r="MW7" s="96">
        <v>0</v>
      </c>
      <c r="MX7" s="96">
        <v>2646</v>
      </c>
      <c r="MY7" s="96"/>
      <c r="MZ7" s="96">
        <v>0</v>
      </c>
      <c r="NA7" s="96">
        <v>130083</v>
      </c>
      <c r="NB7" s="96">
        <v>6210563</v>
      </c>
      <c r="NC7" s="756">
        <v>6740883</v>
      </c>
      <c r="ND7" s="96">
        <v>174024006</v>
      </c>
      <c r="NE7" s="96">
        <v>187731081</v>
      </c>
      <c r="NF7" s="96">
        <v>67049</v>
      </c>
      <c r="NG7" s="96">
        <v>61626</v>
      </c>
      <c r="NH7" s="391">
        <v>1206612</v>
      </c>
      <c r="NI7" s="757">
        <f>1392956-NI6</f>
        <v>949573</v>
      </c>
      <c r="NJ7" s="757">
        <v>34004</v>
      </c>
      <c r="NK7" s="757">
        <v>28282</v>
      </c>
      <c r="NL7" s="391">
        <v>327078</v>
      </c>
      <c r="NM7" s="391">
        <v>327079</v>
      </c>
      <c r="NN7" s="391"/>
      <c r="NO7" s="391">
        <v>0</v>
      </c>
      <c r="NP7" s="391">
        <v>24743</v>
      </c>
      <c r="NQ7" s="391">
        <v>24743</v>
      </c>
      <c r="NR7" s="391">
        <v>0</v>
      </c>
      <c r="NS7" s="391">
        <v>0</v>
      </c>
      <c r="NT7" s="391">
        <v>320407</v>
      </c>
      <c r="NU7" s="391"/>
      <c r="NV7" s="391"/>
      <c r="NW7" s="391"/>
      <c r="NX7" s="391"/>
      <c r="NY7" s="391"/>
      <c r="NZ7" s="391">
        <f>236256+1483100</f>
        <v>1719356</v>
      </c>
      <c r="OA7" s="757">
        <f>236256+1483100</f>
        <v>1719356</v>
      </c>
      <c r="OB7" s="757"/>
      <c r="OC7" s="757"/>
      <c r="OD7" s="757"/>
      <c r="OE7" s="757"/>
      <c r="OF7" s="757">
        <v>350</v>
      </c>
      <c r="OG7" s="757">
        <v>1850</v>
      </c>
      <c r="OH7" s="757">
        <v>389765</v>
      </c>
      <c r="OI7" s="757">
        <f>64597+183259</f>
        <v>247856</v>
      </c>
      <c r="OJ7" s="391">
        <v>51094</v>
      </c>
      <c r="OK7" s="391"/>
      <c r="OL7" s="391">
        <v>0</v>
      </c>
      <c r="OM7" s="391">
        <v>0</v>
      </c>
      <c r="ON7" s="391"/>
      <c r="OO7" s="391">
        <f>27164+1391</f>
        <v>28555</v>
      </c>
      <c r="OP7" s="391"/>
      <c r="OQ7" s="391"/>
      <c r="OR7" s="391"/>
      <c r="OS7" s="391"/>
      <c r="OT7" s="391">
        <v>1016392</v>
      </c>
      <c r="OU7" s="391">
        <v>1019485</v>
      </c>
      <c r="OV7" s="391"/>
      <c r="OW7" s="391"/>
      <c r="OX7" s="391">
        <v>90725</v>
      </c>
      <c r="OY7" s="391">
        <v>20670</v>
      </c>
      <c r="OZ7" s="391">
        <v>153306</v>
      </c>
      <c r="PA7" s="391">
        <v>153306</v>
      </c>
      <c r="PB7" s="391"/>
      <c r="PC7" s="391"/>
      <c r="PD7" s="391"/>
      <c r="PE7" s="391"/>
      <c r="PF7" s="391">
        <v>340832</v>
      </c>
      <c r="PG7" s="391">
        <v>403774</v>
      </c>
      <c r="PH7" s="391">
        <v>201794</v>
      </c>
      <c r="PI7" s="391"/>
      <c r="PJ7" s="391">
        <v>604823</v>
      </c>
      <c r="PK7" s="391">
        <f>32384+2043201</f>
        <v>2075585</v>
      </c>
      <c r="PL7" s="391">
        <f>1985262+27258877</f>
        <v>29244139</v>
      </c>
      <c r="PM7" s="391">
        <f>3236706+39080598</f>
        <v>42317304</v>
      </c>
      <c r="PN7" s="391">
        <v>123723</v>
      </c>
      <c r="PO7" s="391">
        <v>123724</v>
      </c>
      <c r="PP7" s="391">
        <v>674691</v>
      </c>
      <c r="PQ7" s="391">
        <v>139245</v>
      </c>
      <c r="PR7" s="391">
        <v>392359</v>
      </c>
      <c r="PS7" s="391">
        <v>392358</v>
      </c>
      <c r="PT7" s="391">
        <f>41413+856496</f>
        <v>897909</v>
      </c>
      <c r="PU7" s="391">
        <f>33503+1135037</f>
        <v>1168540</v>
      </c>
      <c r="PV7" s="391">
        <v>0</v>
      </c>
      <c r="PW7" s="391">
        <v>0</v>
      </c>
      <c r="PX7" s="391">
        <v>948000</v>
      </c>
      <c r="PY7" s="391">
        <v>927000</v>
      </c>
      <c r="PZ7" s="391">
        <v>319346</v>
      </c>
      <c r="QA7" s="757">
        <v>319346</v>
      </c>
      <c r="QB7" s="757">
        <v>507932</v>
      </c>
      <c r="QC7" s="757"/>
      <c r="QD7" s="757">
        <f>1654050+2257625</f>
        <v>3911675</v>
      </c>
      <c r="QE7" s="391">
        <v>2860181</v>
      </c>
      <c r="QF7" s="391"/>
      <c r="QG7" s="391"/>
      <c r="QH7" s="391">
        <v>193223</v>
      </c>
      <c r="QI7" s="391">
        <v>193223</v>
      </c>
      <c r="QJ7" s="391">
        <v>0</v>
      </c>
      <c r="QK7" s="391">
        <v>0</v>
      </c>
      <c r="QL7" s="391">
        <v>2395934</v>
      </c>
      <c r="QM7" s="391">
        <f>1795887+600196</f>
        <v>2396083</v>
      </c>
      <c r="QN7" s="391">
        <v>0</v>
      </c>
      <c r="QO7" s="391">
        <v>0</v>
      </c>
      <c r="QP7" s="391">
        <v>2846347</v>
      </c>
      <c r="QQ7" s="391">
        <f>1320083+177768+2624+904088</f>
        <v>2404563</v>
      </c>
      <c r="QR7" s="391">
        <v>721074</v>
      </c>
      <c r="QS7" s="391">
        <f>3946871+31550+699563+688</f>
        <v>4678672</v>
      </c>
      <c r="QT7" s="391">
        <v>0</v>
      </c>
      <c r="QU7" s="391"/>
      <c r="QV7" s="391">
        <f>5836+1695184</f>
        <v>1701020</v>
      </c>
      <c r="QW7" s="391">
        <f>7496+11349+8854936</f>
        <v>8873781</v>
      </c>
      <c r="QX7" s="391">
        <f>32984+12960+59808+2300</f>
        <v>108052</v>
      </c>
      <c r="QY7" s="391">
        <f>32985+17721+61396+2300</f>
        <v>114402</v>
      </c>
      <c r="QZ7" s="391"/>
      <c r="RA7" s="391"/>
      <c r="RB7" s="391">
        <v>0</v>
      </c>
      <c r="RC7" s="391">
        <v>0</v>
      </c>
      <c r="RD7" s="391">
        <v>2646</v>
      </c>
      <c r="RE7" s="391"/>
      <c r="RF7" s="391">
        <v>130083</v>
      </c>
      <c r="RG7" s="391"/>
      <c r="RH7" s="391">
        <v>6210563</v>
      </c>
      <c r="RI7" s="757">
        <v>6740883</v>
      </c>
      <c r="RJ7" s="391">
        <f>298121+46205225+5138728+107495+190109</f>
        <v>51939678</v>
      </c>
      <c r="RK7" s="391">
        <f>233497+69052368+2716680+107495+133854</f>
        <v>72243894</v>
      </c>
      <c r="RL7" s="391">
        <v>61626</v>
      </c>
      <c r="RM7" s="391">
        <v>85803</v>
      </c>
      <c r="RN7" s="96">
        <v>47040</v>
      </c>
      <c r="RO7" s="758">
        <v>60928</v>
      </c>
      <c r="RP7" s="758">
        <v>28283</v>
      </c>
      <c r="RQ7" s="758">
        <v>99486</v>
      </c>
      <c r="RR7" s="96">
        <v>327079</v>
      </c>
      <c r="RS7" s="96">
        <v>-557450</v>
      </c>
      <c r="RT7" s="96">
        <v>31089</v>
      </c>
      <c r="RU7" s="96">
        <v>31089</v>
      </c>
      <c r="RV7" s="96">
        <v>24743</v>
      </c>
      <c r="RW7" s="96">
        <v>24743</v>
      </c>
      <c r="RX7" s="96"/>
      <c r="RY7" s="96"/>
      <c r="RZ7" s="96"/>
      <c r="SA7" s="96"/>
      <c r="SB7" s="96"/>
      <c r="SC7" s="96"/>
      <c r="SD7" s="96"/>
      <c r="SE7" s="96"/>
      <c r="SF7" s="96">
        <v>1719756</v>
      </c>
      <c r="SG7" s="758">
        <v>1719756</v>
      </c>
      <c r="SH7" s="758"/>
      <c r="SI7" s="758"/>
      <c r="SJ7" s="758"/>
      <c r="SK7" s="758"/>
      <c r="SL7" s="758">
        <v>1850</v>
      </c>
      <c r="SM7" s="758">
        <v>1850</v>
      </c>
      <c r="SN7" s="758">
        <v>247856</v>
      </c>
      <c r="SO7" s="758">
        <v>3806</v>
      </c>
      <c r="SP7" s="96"/>
      <c r="SQ7" s="96"/>
      <c r="SR7" s="96">
        <v>43284</v>
      </c>
      <c r="SS7" s="96">
        <v>348335</v>
      </c>
      <c r="ST7" s="96">
        <v>28555</v>
      </c>
      <c r="SU7" s="96"/>
      <c r="SV7" s="96"/>
      <c r="SW7" s="96"/>
      <c r="SX7" s="96"/>
      <c r="SY7" s="96"/>
      <c r="SZ7" s="96">
        <v>1019485</v>
      </c>
      <c r="TA7" s="96">
        <v>144534</v>
      </c>
      <c r="TB7" s="96"/>
      <c r="TC7" s="96"/>
      <c r="TD7" s="96">
        <v>539807</v>
      </c>
      <c r="TE7" s="96">
        <v>670570</v>
      </c>
      <c r="TF7" s="96">
        <v>153306</v>
      </c>
      <c r="TG7" s="96">
        <v>152321</v>
      </c>
      <c r="TH7" s="96">
        <v>50000</v>
      </c>
      <c r="TI7" s="96">
        <v>95548</v>
      </c>
      <c r="TJ7" s="96"/>
      <c r="TK7" s="96"/>
      <c r="TL7" s="96">
        <v>85128</v>
      </c>
      <c r="TM7" s="96">
        <v>113504</v>
      </c>
      <c r="TN7" s="96"/>
      <c r="TO7" s="96">
        <v>201793</v>
      </c>
      <c r="TP7" s="96">
        <v>10257</v>
      </c>
      <c r="TQ7" s="96">
        <v>10257</v>
      </c>
      <c r="TR7" s="96">
        <v>42317304</v>
      </c>
      <c r="TS7" s="96">
        <v>45119343</v>
      </c>
      <c r="TT7" s="96">
        <v>123724</v>
      </c>
      <c r="TU7" s="96">
        <v>123723</v>
      </c>
      <c r="TV7" s="96">
        <v>139245000</v>
      </c>
      <c r="TW7" s="96">
        <v>146096000</v>
      </c>
      <c r="TX7" s="96">
        <v>392358</v>
      </c>
      <c r="TY7" s="96">
        <v>392359</v>
      </c>
      <c r="TZ7" s="96">
        <v>1168540</v>
      </c>
      <c r="UA7" s="96">
        <v>90262</v>
      </c>
      <c r="UB7" s="96">
        <v>0</v>
      </c>
      <c r="UC7" s="96"/>
      <c r="UD7" s="96">
        <v>927000</v>
      </c>
      <c r="UE7" s="96">
        <v>1214000</v>
      </c>
      <c r="UF7" s="758">
        <v>319346</v>
      </c>
      <c r="UG7" s="758">
        <v>1079221</v>
      </c>
      <c r="UH7" s="758"/>
      <c r="UI7" s="758"/>
      <c r="UJ7" s="96">
        <v>1568430</v>
      </c>
      <c r="UK7" s="96">
        <v>1588194</v>
      </c>
      <c r="UL7" s="96"/>
      <c r="UM7" s="96"/>
      <c r="UN7" s="96">
        <v>193223</v>
      </c>
      <c r="UO7" s="96">
        <v>193224</v>
      </c>
      <c r="UP7" s="96">
        <v>1950275</v>
      </c>
      <c r="UQ7" s="96">
        <v>1491082</v>
      </c>
      <c r="UR7" s="96">
        <v>2396083</v>
      </c>
      <c r="US7" s="96">
        <v>1670859</v>
      </c>
      <c r="UT7" s="96">
        <v>0</v>
      </c>
      <c r="UU7" s="96"/>
      <c r="UV7" s="96">
        <v>2404563</v>
      </c>
      <c r="UW7" s="96">
        <v>2523042</v>
      </c>
      <c r="UX7" s="96">
        <v>549577</v>
      </c>
      <c r="UY7" s="96">
        <v>725669</v>
      </c>
      <c r="UZ7" s="96"/>
      <c r="VA7" s="96"/>
      <c r="VB7" s="96">
        <v>9151552</v>
      </c>
      <c r="VC7" s="96">
        <v>79562</v>
      </c>
      <c r="VD7" s="96">
        <v>13800</v>
      </c>
      <c r="VE7" s="96">
        <v>41400</v>
      </c>
      <c r="VF7" s="96"/>
      <c r="VG7" s="96"/>
      <c r="VH7" s="96">
        <v>0</v>
      </c>
      <c r="VI7" s="96"/>
      <c r="VJ7" s="96"/>
      <c r="VK7" s="96"/>
      <c r="VL7" s="96"/>
      <c r="VM7" s="96"/>
      <c r="VN7" s="758">
        <v>6740883</v>
      </c>
      <c r="VO7" s="758"/>
      <c r="VP7" s="96">
        <v>72243894</v>
      </c>
      <c r="VQ7" s="96">
        <v>106063734</v>
      </c>
      <c r="VR7" s="96">
        <v>85803</v>
      </c>
      <c r="VS7" s="96"/>
      <c r="VT7" s="96">
        <v>60928</v>
      </c>
      <c r="VU7" s="758">
        <v>67687</v>
      </c>
      <c r="VV7" s="758">
        <v>99486</v>
      </c>
      <c r="VW7" s="758">
        <v>55944</v>
      </c>
      <c r="VX7" s="96">
        <v>-557450</v>
      </c>
      <c r="VY7" s="96"/>
      <c r="VZ7" s="96">
        <v>31089</v>
      </c>
      <c r="WA7" s="96">
        <v>15682</v>
      </c>
      <c r="WB7" s="96">
        <v>24743</v>
      </c>
      <c r="WC7" s="96"/>
      <c r="WD7" s="96"/>
      <c r="WE7" s="96"/>
      <c r="WF7" s="96"/>
      <c r="WG7" s="96"/>
      <c r="WH7" s="96"/>
      <c r="WI7" s="96"/>
      <c r="WJ7" s="96"/>
      <c r="WK7" s="96"/>
      <c r="WL7" s="96">
        <v>236656</v>
      </c>
      <c r="WM7" s="758">
        <v>236656</v>
      </c>
      <c r="WN7" s="758"/>
      <c r="WO7" s="758"/>
      <c r="WP7" s="758"/>
      <c r="WQ7" s="758"/>
      <c r="WR7" s="758">
        <v>1500</v>
      </c>
      <c r="WS7" s="758">
        <v>1500</v>
      </c>
      <c r="WT7" s="758">
        <v>3806</v>
      </c>
      <c r="WU7" s="758"/>
      <c r="WV7" s="96"/>
      <c r="WW7" s="96"/>
      <c r="WX7" s="96">
        <v>348335</v>
      </c>
      <c r="WY7" s="96">
        <v>2941356</v>
      </c>
      <c r="WZ7" s="96"/>
      <c r="XA7" s="96">
        <v>53663</v>
      </c>
      <c r="XB7" s="96"/>
      <c r="XC7" s="96"/>
      <c r="XD7" s="96">
        <v>120341</v>
      </c>
      <c r="XE7" s="96">
        <v>1112506</v>
      </c>
      <c r="XF7" s="96">
        <v>144534</v>
      </c>
      <c r="XG7" s="96">
        <v>219803</v>
      </c>
      <c r="XH7" s="96">
        <v>366993</v>
      </c>
      <c r="XI7" s="96"/>
      <c r="XJ7" s="96">
        <v>670570</v>
      </c>
      <c r="XK7" s="96">
        <v>550674</v>
      </c>
      <c r="XL7" s="96">
        <v>152321</v>
      </c>
      <c r="XM7" s="96">
        <v>152321</v>
      </c>
      <c r="XN7" s="96">
        <v>45547</v>
      </c>
      <c r="XO7" s="96"/>
      <c r="XP7" s="96"/>
      <c r="XQ7" s="96"/>
      <c r="XR7" s="96">
        <v>113504</v>
      </c>
      <c r="XS7" s="96">
        <v>40581</v>
      </c>
      <c r="XT7" s="96">
        <v>201793</v>
      </c>
      <c r="XU7" s="96"/>
      <c r="XV7" s="96">
        <v>10256</v>
      </c>
      <c r="XW7" s="96">
        <v>9875</v>
      </c>
      <c r="XX7" s="96">
        <v>45119343</v>
      </c>
      <c r="XY7" s="96">
        <v>43108290</v>
      </c>
      <c r="XZ7" s="96">
        <v>64723</v>
      </c>
      <c r="YA7" s="96">
        <v>64723</v>
      </c>
      <c r="YB7" s="96">
        <v>146096</v>
      </c>
      <c r="YC7" s="96">
        <v>11808</v>
      </c>
      <c r="YD7" s="96">
        <v>-339450</v>
      </c>
      <c r="YE7" s="96">
        <v>-537330</v>
      </c>
      <c r="YF7" s="96">
        <v>90262</v>
      </c>
      <c r="YG7" s="96">
        <v>286490</v>
      </c>
      <c r="YH7" s="96">
        <v>0</v>
      </c>
      <c r="YI7" s="96"/>
      <c r="YJ7" s="96">
        <v>1214000</v>
      </c>
      <c r="YK7" s="96"/>
      <c r="YL7" s="758">
        <v>317346286</v>
      </c>
      <c r="YM7" s="758">
        <v>317346286</v>
      </c>
      <c r="YN7" s="758"/>
      <c r="YO7" s="758"/>
      <c r="YP7" s="96">
        <v>1588194</v>
      </c>
      <c r="YQ7" s="96">
        <v>28851</v>
      </c>
      <c r="YR7" s="96"/>
      <c r="YS7" s="96"/>
      <c r="YT7" s="96">
        <v>193224</v>
      </c>
      <c r="YU7" s="96"/>
      <c r="YV7" s="96">
        <v>1491082</v>
      </c>
      <c r="YW7" s="96">
        <v>1245804</v>
      </c>
      <c r="YX7" s="96">
        <v>1670859</v>
      </c>
      <c r="YY7" s="96">
        <v>1688414</v>
      </c>
      <c r="YZ7" s="96">
        <v>0</v>
      </c>
      <c r="ZA7" s="96"/>
      <c r="ZB7" s="96">
        <v>2523042</v>
      </c>
      <c r="ZC7" s="96">
        <v>2855002</v>
      </c>
      <c r="ZD7" s="96">
        <v>725669</v>
      </c>
      <c r="ZE7" s="96">
        <v>707480</v>
      </c>
      <c r="ZF7" s="96"/>
      <c r="ZG7" s="96"/>
      <c r="ZH7" s="96">
        <v>79562</v>
      </c>
      <c r="ZI7" s="96">
        <v>30698</v>
      </c>
      <c r="ZJ7" s="96">
        <v>41400</v>
      </c>
      <c r="ZK7" s="96"/>
      <c r="ZL7" s="96"/>
      <c r="ZM7" s="96"/>
      <c r="ZN7" s="96"/>
      <c r="ZO7" s="96"/>
      <c r="ZP7" s="96"/>
      <c r="ZQ7" s="96"/>
      <c r="ZR7" s="96"/>
      <c r="ZS7" s="96"/>
      <c r="ZT7" s="758"/>
      <c r="ZU7" s="758"/>
      <c r="ZV7" s="96">
        <v>106063734</v>
      </c>
      <c r="ZW7" s="96">
        <v>109302571</v>
      </c>
      <c r="ZX7" s="96">
        <v>16605</v>
      </c>
      <c r="ZY7" s="96">
        <v>14321</v>
      </c>
      <c r="ZZ7" s="605"/>
      <c r="AAA7" s="605"/>
      <c r="AAB7" s="605"/>
      <c r="AAC7" s="605"/>
      <c r="AAD7" s="605"/>
      <c r="AAE7" s="605"/>
      <c r="AAF7" s="605"/>
      <c r="AAG7" s="605"/>
      <c r="AAH7" s="605"/>
      <c r="AAI7" s="605"/>
      <c r="AAJ7" s="605"/>
      <c r="AAK7" s="605"/>
      <c r="AAL7" s="605"/>
      <c r="AAM7" s="605"/>
      <c r="AAN7" s="605"/>
      <c r="AAO7" s="605"/>
      <c r="AAP7" s="605"/>
      <c r="AAQ7" s="605"/>
      <c r="AAR7" s="605"/>
      <c r="AAS7" s="605"/>
      <c r="AAT7" s="605"/>
      <c r="AAU7" s="605"/>
      <c r="AAV7" s="605"/>
      <c r="AAW7" s="605"/>
      <c r="AAX7" s="605"/>
      <c r="AAY7" s="605"/>
      <c r="AAZ7" s="605"/>
      <c r="ABA7" s="605"/>
      <c r="ABB7" s="605"/>
      <c r="ABC7" s="605"/>
      <c r="ABD7" s="605"/>
      <c r="ABE7" s="605"/>
      <c r="ABF7" s="605"/>
      <c r="ABG7" s="605"/>
      <c r="ABH7" s="605"/>
      <c r="ABI7" s="605"/>
      <c r="ABJ7" s="605"/>
      <c r="ABK7" s="605"/>
      <c r="ABL7" s="605"/>
      <c r="ABM7" s="605"/>
      <c r="ABN7" s="605"/>
      <c r="ABO7" s="605"/>
      <c r="ABP7" s="605"/>
      <c r="ABQ7" s="605"/>
      <c r="ABR7" s="605"/>
      <c r="ABS7" s="605"/>
      <c r="ABT7" s="605"/>
      <c r="ABU7" s="605"/>
      <c r="ABV7" s="605"/>
      <c r="ABW7" s="605"/>
      <c r="ABX7" s="605"/>
      <c r="ABY7" s="605"/>
      <c r="ABZ7" s="605"/>
      <c r="ACA7" s="605"/>
      <c r="ACB7" s="605"/>
      <c r="ACC7" s="605"/>
      <c r="ACD7" s="605"/>
      <c r="ACE7" s="605"/>
      <c r="ACF7" s="605"/>
      <c r="ACG7" s="605"/>
      <c r="ACH7" s="605"/>
      <c r="ACI7" s="605"/>
      <c r="ACJ7" s="605"/>
      <c r="ACK7" s="605"/>
      <c r="ACL7" s="605"/>
      <c r="ACM7" s="605"/>
      <c r="ACN7" s="605"/>
      <c r="ACO7" s="605"/>
      <c r="ACP7" s="605"/>
      <c r="ACQ7" s="605"/>
      <c r="ACR7" s="605"/>
      <c r="ACS7" s="605"/>
      <c r="ACT7" s="605"/>
      <c r="ACU7" s="605"/>
      <c r="ACV7" s="605"/>
      <c r="ACW7" s="605"/>
      <c r="ACX7" s="605"/>
      <c r="ACY7" s="605"/>
      <c r="ACZ7" s="605"/>
      <c r="ADA7" s="605"/>
      <c r="ADB7" s="605"/>
      <c r="ADC7" s="605"/>
      <c r="ADD7" s="605"/>
      <c r="ADE7" s="605"/>
      <c r="ADF7" s="605"/>
      <c r="ADG7" s="605"/>
      <c r="ADH7" s="605"/>
      <c r="ADI7" s="605"/>
      <c r="ADJ7" s="605"/>
      <c r="ADK7" s="605"/>
      <c r="ADL7" s="605"/>
      <c r="ADM7" s="605"/>
      <c r="ADN7" s="605"/>
      <c r="ADO7" s="605"/>
      <c r="ADP7" s="605"/>
      <c r="ADQ7" s="605"/>
      <c r="ADR7" s="605"/>
      <c r="ADS7" s="605"/>
      <c r="ADT7" s="605"/>
      <c r="ADU7" s="605"/>
      <c r="ADV7" s="605"/>
      <c r="ADW7" s="605"/>
      <c r="ADX7" s="605"/>
      <c r="ADY7" s="605"/>
      <c r="ADZ7" s="605"/>
      <c r="AEA7" s="605"/>
      <c r="AEB7" s="605"/>
      <c r="AEC7" s="605"/>
      <c r="AED7" s="605"/>
      <c r="AEE7" s="605"/>
      <c r="AEF7" s="605"/>
      <c r="AEG7" s="605"/>
      <c r="AEH7" s="605"/>
      <c r="AEI7" s="605"/>
      <c r="AEJ7" s="605"/>
      <c r="AEK7" s="605"/>
      <c r="AEL7" s="605"/>
      <c r="AEM7" s="605"/>
      <c r="AEN7" s="605"/>
      <c r="AEO7" s="605"/>
      <c r="AEP7" s="605"/>
      <c r="AEQ7" s="605"/>
      <c r="AER7" s="605"/>
      <c r="AES7" s="605"/>
      <c r="AET7" s="605"/>
      <c r="AEU7" s="605"/>
      <c r="AEV7" s="605"/>
      <c r="AEW7" s="605"/>
      <c r="AEX7" s="605"/>
      <c r="AEY7" s="605"/>
      <c r="AEZ7" s="605"/>
      <c r="AFA7" s="605"/>
      <c r="AFB7" s="605"/>
      <c r="AFC7" s="605"/>
      <c r="AFD7" s="605"/>
      <c r="AFE7" s="605"/>
      <c r="AFF7" s="605"/>
      <c r="AFG7" s="605"/>
      <c r="AFH7" s="605"/>
      <c r="AFI7" s="605"/>
      <c r="AFJ7" s="605"/>
      <c r="AFK7" s="605"/>
      <c r="AFL7" s="605"/>
      <c r="AFM7" s="605"/>
      <c r="AFN7" s="605"/>
      <c r="AFO7" s="605"/>
      <c r="AFP7" s="605"/>
      <c r="AFQ7" s="605"/>
      <c r="AFR7" s="605"/>
      <c r="AFS7" s="605"/>
      <c r="AFT7" s="605"/>
      <c r="AFU7" s="605"/>
      <c r="AFV7" s="605"/>
      <c r="AFW7" s="605"/>
      <c r="AFX7" s="605"/>
      <c r="AFY7" s="605"/>
      <c r="AFZ7" s="605"/>
      <c r="AGA7" s="605"/>
      <c r="AGB7" s="605"/>
      <c r="AGC7" s="605"/>
      <c r="AGD7" s="605"/>
      <c r="AGE7" s="605"/>
      <c r="AGF7" s="605"/>
      <c r="AGG7" s="605"/>
      <c r="AGH7" s="605"/>
      <c r="AGI7" s="605"/>
      <c r="AGJ7" s="605"/>
      <c r="AGK7" s="605"/>
      <c r="AGL7" s="605"/>
      <c r="AGM7" s="605"/>
      <c r="AGN7" s="605"/>
      <c r="AGO7" s="605"/>
      <c r="AGP7" s="605"/>
      <c r="AGQ7" s="605"/>
      <c r="AGR7" s="605"/>
      <c r="AGS7" s="605"/>
      <c r="AGT7" s="605"/>
      <c r="AGU7" s="605"/>
      <c r="AGV7" s="605"/>
      <c r="AGW7" s="605"/>
      <c r="AGX7" s="605"/>
      <c r="AGY7" s="605"/>
      <c r="AGZ7" s="605"/>
      <c r="AHA7" s="605"/>
      <c r="AHB7" s="605"/>
      <c r="AHC7" s="605"/>
      <c r="AHD7" s="605"/>
      <c r="AHE7" s="605"/>
      <c r="AHF7" s="605"/>
      <c r="AHG7" s="605"/>
      <c r="AHH7" s="605"/>
      <c r="AHI7" s="605"/>
      <c r="AHJ7" s="605"/>
      <c r="AHK7" s="605"/>
      <c r="AHL7" s="605"/>
      <c r="AHM7" s="605"/>
      <c r="AHN7" s="605"/>
      <c r="AHO7" s="605"/>
      <c r="AHP7" s="605"/>
      <c r="AHQ7" s="605"/>
      <c r="AHR7" s="605"/>
      <c r="AHS7" s="605"/>
      <c r="AHT7" s="605"/>
      <c r="AHU7" s="605"/>
      <c r="AHV7" s="605"/>
      <c r="AHW7" s="605"/>
      <c r="AHX7" s="605"/>
      <c r="AHY7" s="605"/>
      <c r="AHZ7" s="605"/>
      <c r="AIA7" s="605"/>
      <c r="AIB7" s="605"/>
      <c r="AIC7" s="605"/>
      <c r="AID7" s="605"/>
      <c r="AIE7" s="605"/>
      <c r="AIF7" s="605"/>
      <c r="AIG7" s="605"/>
      <c r="AIH7" s="605"/>
      <c r="AII7" s="605"/>
      <c r="AIJ7" s="605"/>
      <c r="AIK7" s="605"/>
      <c r="AIL7" s="605"/>
      <c r="AIM7" s="605"/>
      <c r="AIN7" s="605"/>
      <c r="AIO7" s="605"/>
      <c r="AIP7" s="605"/>
      <c r="AIQ7" s="605"/>
      <c r="AIR7" s="605"/>
      <c r="AIS7" s="605"/>
      <c r="AIT7" s="605"/>
      <c r="AIU7" s="605"/>
      <c r="AIV7" s="605"/>
      <c r="AIW7" s="605"/>
      <c r="AIX7" s="605"/>
      <c r="AIY7" s="605"/>
      <c r="AIZ7" s="605"/>
      <c r="AJA7" s="605"/>
      <c r="AJB7" s="605"/>
      <c r="AJC7" s="605"/>
      <c r="AJD7" s="605"/>
      <c r="AJE7" s="605"/>
      <c r="AJF7" s="605"/>
      <c r="AJG7" s="605"/>
      <c r="AJH7" s="605"/>
      <c r="AJI7" s="605"/>
      <c r="AJJ7" s="605"/>
      <c r="AJK7" s="605"/>
      <c r="AJL7" s="605"/>
      <c r="AJM7" s="605"/>
      <c r="AJN7" s="605"/>
      <c r="AJO7" s="605"/>
    </row>
    <row r="8" spans="1:951" x14ac:dyDescent="0.25">
      <c r="A8" s="90" t="s">
        <v>10</v>
      </c>
      <c r="B8" s="98">
        <v>0</v>
      </c>
      <c r="C8" s="98">
        <v>4118163.9640000002</v>
      </c>
      <c r="D8" s="98">
        <v>7830683.807</v>
      </c>
      <c r="E8" s="98">
        <v>4660531</v>
      </c>
      <c r="F8" s="98">
        <v>10731840</v>
      </c>
      <c r="G8" s="98">
        <v>1116334</v>
      </c>
      <c r="H8" s="98">
        <v>1048783</v>
      </c>
      <c r="I8" s="98">
        <v>1047407.8870000001</v>
      </c>
      <c r="J8" s="98">
        <v>1094216</v>
      </c>
      <c r="K8" s="98">
        <v>0</v>
      </c>
      <c r="L8" s="98">
        <v>5372881.6370000001</v>
      </c>
      <c r="M8" s="98">
        <v>5942122.4629999995</v>
      </c>
      <c r="N8" s="98">
        <v>6253349.3030000003</v>
      </c>
      <c r="O8" s="99">
        <v>6326006</v>
      </c>
      <c r="P8" s="99">
        <v>7712467</v>
      </c>
      <c r="Q8" s="99">
        <v>0</v>
      </c>
      <c r="R8" s="99">
        <v>1042680.898</v>
      </c>
      <c r="S8" s="99">
        <v>1149140</v>
      </c>
      <c r="T8" s="99">
        <v>1356954</v>
      </c>
      <c r="U8" s="99">
        <v>3710160</v>
      </c>
      <c r="V8" s="98">
        <v>0</v>
      </c>
      <c r="W8" s="98">
        <v>0</v>
      </c>
      <c r="X8" s="98">
        <v>993967</v>
      </c>
      <c r="Y8" s="98">
        <v>1350128</v>
      </c>
      <c r="Z8" s="98">
        <v>1756516</v>
      </c>
      <c r="AA8" s="98">
        <v>0</v>
      </c>
      <c r="AB8" s="98">
        <v>772487.31200000003</v>
      </c>
      <c r="AC8" s="98">
        <v>761480.23600000003</v>
      </c>
      <c r="AD8" s="98">
        <v>994399</v>
      </c>
      <c r="AE8" s="98">
        <v>1345212</v>
      </c>
      <c r="AF8" s="98">
        <v>1890099.1769999997</v>
      </c>
      <c r="AG8" s="98">
        <v>1600234.4169999999</v>
      </c>
      <c r="AH8" s="98">
        <v>1557497.8910000001</v>
      </c>
      <c r="AI8" s="99">
        <v>1781334</v>
      </c>
      <c r="AJ8" s="99">
        <v>1674967</v>
      </c>
      <c r="AK8" s="98">
        <v>0</v>
      </c>
      <c r="AL8" s="98">
        <v>877852.12100000004</v>
      </c>
      <c r="AM8" s="98">
        <v>1553781.9029999999</v>
      </c>
      <c r="AN8" s="98">
        <v>1547917</v>
      </c>
      <c r="AO8" s="98">
        <v>1576466</v>
      </c>
      <c r="AP8" s="98">
        <v>0</v>
      </c>
      <c r="AQ8" s="98">
        <v>626363</v>
      </c>
      <c r="AR8" s="98">
        <v>601452</v>
      </c>
      <c r="AS8" s="98">
        <v>698073</v>
      </c>
      <c r="AT8" s="98">
        <v>843820</v>
      </c>
      <c r="AU8" s="98">
        <v>1363842</v>
      </c>
      <c r="AV8" s="98">
        <v>993691</v>
      </c>
      <c r="AW8" s="98">
        <v>865142</v>
      </c>
      <c r="AX8" s="98">
        <v>824923</v>
      </c>
      <c r="AY8" s="98">
        <v>0</v>
      </c>
      <c r="AZ8" s="98">
        <v>672627.08699999994</v>
      </c>
      <c r="BA8" s="98">
        <v>784095.24399999995</v>
      </c>
      <c r="BB8" s="98">
        <v>678798.16599999997</v>
      </c>
      <c r="BC8" s="98">
        <v>974505</v>
      </c>
      <c r="BD8" s="98">
        <v>725576</v>
      </c>
      <c r="BE8" s="98">
        <v>0</v>
      </c>
      <c r="BF8" s="98">
        <v>1164470.8230000001</v>
      </c>
      <c r="BG8" s="98">
        <v>1172889.1629999999</v>
      </c>
      <c r="BH8" s="98">
        <v>1297501</v>
      </c>
      <c r="BI8" s="98">
        <v>1438270</v>
      </c>
      <c r="BJ8" s="98">
        <v>0</v>
      </c>
      <c r="BK8" s="98">
        <v>0</v>
      </c>
      <c r="BL8" s="98">
        <v>0</v>
      </c>
      <c r="BM8" s="98">
        <v>0</v>
      </c>
      <c r="BN8" s="98">
        <v>2461617</v>
      </c>
      <c r="BO8" s="98">
        <v>0</v>
      </c>
      <c r="BP8" s="98">
        <v>0</v>
      </c>
      <c r="BQ8" s="98">
        <v>194324</v>
      </c>
      <c r="BR8" s="98">
        <v>2806427</v>
      </c>
      <c r="BS8" s="98">
        <v>2662856</v>
      </c>
      <c r="BT8" s="98">
        <v>494585.826</v>
      </c>
      <c r="BU8" s="98">
        <v>748138.87100000004</v>
      </c>
      <c r="BV8" s="98">
        <v>902135</v>
      </c>
      <c r="BW8" s="98">
        <v>1101441</v>
      </c>
      <c r="BX8" s="98">
        <v>1086618</v>
      </c>
      <c r="BY8" s="98">
        <v>0</v>
      </c>
      <c r="BZ8" s="98">
        <v>2377548.0039999997</v>
      </c>
      <c r="CA8" s="98">
        <v>1998381.8859999999</v>
      </c>
      <c r="CB8" s="98">
        <v>2932471</v>
      </c>
      <c r="CC8" s="98">
        <v>3704186</v>
      </c>
      <c r="CD8" s="99">
        <v>280163.891</v>
      </c>
      <c r="CE8" s="98">
        <v>309396.28599999996</v>
      </c>
      <c r="CF8" s="98">
        <v>319851.18299999996</v>
      </c>
      <c r="CG8" s="98">
        <v>329714</v>
      </c>
      <c r="CH8" s="98">
        <v>338713</v>
      </c>
      <c r="CI8" s="98">
        <v>0</v>
      </c>
      <c r="CJ8" s="98">
        <v>0</v>
      </c>
      <c r="CK8" s="98">
        <v>1598.2049999999999</v>
      </c>
      <c r="CL8" s="98">
        <v>1690903</v>
      </c>
      <c r="CM8" s="98">
        <v>0</v>
      </c>
      <c r="CN8" s="98">
        <v>0</v>
      </c>
      <c r="CO8" s="98">
        <v>1366702.6729999997</v>
      </c>
      <c r="CP8" s="98">
        <v>2396888.9989999998</v>
      </c>
      <c r="CQ8" s="98">
        <v>2888342</v>
      </c>
      <c r="CR8" s="98">
        <v>2609603</v>
      </c>
      <c r="CS8" s="98">
        <v>0</v>
      </c>
      <c r="CT8" s="98">
        <v>1250001.2830000001</v>
      </c>
      <c r="CU8" s="98">
        <v>1325415</v>
      </c>
      <c r="CV8" s="98">
        <v>1285010</v>
      </c>
      <c r="CW8" s="98">
        <v>990649</v>
      </c>
      <c r="CX8" s="98">
        <v>0</v>
      </c>
      <c r="CY8" s="98">
        <v>245708.878</v>
      </c>
      <c r="CZ8" s="98">
        <v>251568.64299999998</v>
      </c>
      <c r="DA8" s="99">
        <v>256997</v>
      </c>
      <c r="DB8" s="99">
        <v>261916</v>
      </c>
      <c r="DC8" s="98">
        <v>317553</v>
      </c>
      <c r="DD8" s="98">
        <v>340211</v>
      </c>
      <c r="DE8" s="98">
        <v>372621</v>
      </c>
      <c r="DF8" s="98">
        <v>485735</v>
      </c>
      <c r="DG8" s="98">
        <v>368410</v>
      </c>
      <c r="DH8" s="98">
        <v>0</v>
      </c>
      <c r="DI8" s="98">
        <v>0</v>
      </c>
      <c r="DJ8" s="98">
        <v>0</v>
      </c>
      <c r="DK8" s="98">
        <v>0</v>
      </c>
      <c r="DL8" s="98">
        <v>1169809</v>
      </c>
      <c r="DM8" s="101">
        <v>9269241</v>
      </c>
      <c r="DN8" s="98">
        <v>3685837</v>
      </c>
      <c r="DO8" s="98">
        <v>14181441</v>
      </c>
      <c r="DP8" s="98">
        <v>15147295</v>
      </c>
      <c r="DQ8" s="98">
        <v>14464044</v>
      </c>
      <c r="DR8" s="98">
        <v>109806130.15000001</v>
      </c>
      <c r="DS8" s="98">
        <v>121666682.89300001</v>
      </c>
      <c r="DT8" s="98">
        <v>182735209.303</v>
      </c>
      <c r="DU8" s="98">
        <v>241611976</v>
      </c>
      <c r="DV8" s="98">
        <v>293424583</v>
      </c>
      <c r="DW8" s="98">
        <v>1937995.7719999999</v>
      </c>
      <c r="DX8" s="98">
        <v>1981696.2149999999</v>
      </c>
      <c r="DY8" s="98">
        <v>1827698.67</v>
      </c>
      <c r="DZ8" s="98">
        <v>1887819</v>
      </c>
      <c r="EA8" s="98">
        <v>1792817</v>
      </c>
      <c r="EB8" s="98">
        <v>0</v>
      </c>
      <c r="EC8" s="98">
        <v>0</v>
      </c>
      <c r="ED8" s="98">
        <v>0</v>
      </c>
      <c r="EE8" s="98">
        <v>0</v>
      </c>
      <c r="EF8" s="98">
        <v>932970</v>
      </c>
      <c r="EG8" s="98">
        <v>0</v>
      </c>
      <c r="EH8" s="98">
        <v>0</v>
      </c>
      <c r="EI8" s="98">
        <v>0</v>
      </c>
      <c r="EJ8" s="98">
        <v>2709795</v>
      </c>
      <c r="EK8" s="98">
        <v>3936440</v>
      </c>
      <c r="EL8" s="98">
        <v>0</v>
      </c>
      <c r="EM8" s="98">
        <v>0</v>
      </c>
      <c r="EN8" s="98">
        <v>0</v>
      </c>
      <c r="EO8" s="98">
        <v>1134426</v>
      </c>
      <c r="EP8" s="98">
        <v>1493039</v>
      </c>
      <c r="EQ8" s="98">
        <v>0</v>
      </c>
      <c r="ER8" s="98">
        <v>0</v>
      </c>
      <c r="ES8" s="98">
        <v>0</v>
      </c>
      <c r="ET8" s="98">
        <v>0</v>
      </c>
      <c r="EU8" s="98">
        <v>1265971</v>
      </c>
      <c r="EV8" s="98">
        <v>2067703</v>
      </c>
      <c r="EW8" s="98">
        <v>2174081</v>
      </c>
      <c r="EX8" s="99">
        <v>7712467</v>
      </c>
      <c r="EY8" s="98">
        <v>6920655</v>
      </c>
      <c r="EZ8" s="99">
        <v>3710160</v>
      </c>
      <c r="FA8" s="99">
        <v>4947084</v>
      </c>
      <c r="FB8" s="98">
        <v>1345212</v>
      </c>
      <c r="FC8" s="98">
        <v>1619358</v>
      </c>
      <c r="FD8" s="99">
        <v>1674967</v>
      </c>
      <c r="FE8" s="98">
        <v>1687661</v>
      </c>
      <c r="FF8" s="98">
        <v>1576466</v>
      </c>
      <c r="FG8" s="98">
        <v>1208830</v>
      </c>
      <c r="FH8" s="98">
        <v>843820</v>
      </c>
      <c r="FI8" s="98">
        <v>0</v>
      </c>
      <c r="FJ8" s="98">
        <v>0</v>
      </c>
      <c r="FK8" s="98">
        <v>0</v>
      </c>
      <c r="FL8" s="98">
        <v>0</v>
      </c>
      <c r="FM8" s="98">
        <v>946159</v>
      </c>
      <c r="FN8" s="98">
        <v>2662856</v>
      </c>
      <c r="FO8" s="98">
        <v>2654829</v>
      </c>
      <c r="FP8" s="98">
        <v>1438270</v>
      </c>
      <c r="FQ8" s="98">
        <v>1560489</v>
      </c>
      <c r="FR8" s="98">
        <v>1086618</v>
      </c>
      <c r="FS8" s="98">
        <v>0</v>
      </c>
      <c r="FT8" s="98">
        <v>725576</v>
      </c>
      <c r="FU8" s="98">
        <v>792593</v>
      </c>
      <c r="FV8" s="98">
        <v>3704186</v>
      </c>
      <c r="FW8" s="99">
        <v>2820436</v>
      </c>
      <c r="FX8" s="98">
        <v>932970</v>
      </c>
      <c r="FY8" s="98">
        <v>888024</v>
      </c>
      <c r="FZ8" s="98">
        <v>1756516</v>
      </c>
      <c r="GA8" s="98">
        <v>2101123</v>
      </c>
      <c r="GB8" s="98">
        <v>2461617</v>
      </c>
      <c r="GC8" s="98">
        <v>2432550</v>
      </c>
      <c r="GD8" s="98">
        <v>338713</v>
      </c>
      <c r="GE8" s="98">
        <v>351059</v>
      </c>
      <c r="GF8" s="98"/>
      <c r="GG8" s="98"/>
      <c r="GH8" s="98">
        <v>2609603</v>
      </c>
      <c r="GI8" s="98">
        <v>2459965</v>
      </c>
      <c r="GJ8" s="98">
        <v>1712187</v>
      </c>
      <c r="GK8" s="98">
        <v>1726851</v>
      </c>
      <c r="GL8" s="98">
        <v>5764375</v>
      </c>
      <c r="GM8" s="98">
        <v>6335912</v>
      </c>
      <c r="GN8" s="98">
        <v>3590179</v>
      </c>
      <c r="GO8" s="98">
        <v>3930306</v>
      </c>
      <c r="GP8" s="98">
        <v>776930</v>
      </c>
      <c r="GQ8" s="98">
        <v>812260</v>
      </c>
      <c r="GR8" s="98"/>
      <c r="GS8" s="98"/>
      <c r="GT8" s="98">
        <v>3681533</v>
      </c>
      <c r="GU8" s="98">
        <v>3396162</v>
      </c>
      <c r="GV8" s="98">
        <v>0</v>
      </c>
      <c r="GW8" s="98">
        <v>498812</v>
      </c>
      <c r="GX8" s="98">
        <v>1965539</v>
      </c>
      <c r="GY8" s="98">
        <v>1980507</v>
      </c>
      <c r="GZ8" s="98">
        <v>93063079</v>
      </c>
      <c r="HA8" s="98">
        <v>114378448</v>
      </c>
      <c r="HB8" s="98">
        <v>3213257</v>
      </c>
      <c r="HC8" s="98">
        <v>3282505</v>
      </c>
      <c r="HD8" s="98">
        <v>757097</v>
      </c>
      <c r="HE8" s="98">
        <v>1254074</v>
      </c>
      <c r="HF8" s="98">
        <v>11663651</v>
      </c>
      <c r="HG8" s="98">
        <v>11424032</v>
      </c>
      <c r="HH8" s="98">
        <v>68199588</v>
      </c>
      <c r="HI8" s="98">
        <v>87480094</v>
      </c>
      <c r="HJ8" s="98">
        <v>5014411</v>
      </c>
      <c r="HK8" s="98">
        <v>5749555</v>
      </c>
      <c r="HL8" s="98">
        <v>16310612</v>
      </c>
      <c r="HM8" s="98">
        <v>31548146</v>
      </c>
      <c r="HN8" s="98">
        <v>1339516</v>
      </c>
      <c r="HO8" s="98">
        <v>1218744</v>
      </c>
      <c r="HP8" s="98">
        <v>1537010</v>
      </c>
      <c r="HQ8" s="98">
        <v>1756489</v>
      </c>
      <c r="HR8" s="98">
        <v>6387109</v>
      </c>
      <c r="HS8" s="98">
        <v>7536056</v>
      </c>
      <c r="HT8" s="98">
        <v>3936440</v>
      </c>
      <c r="HU8" s="98">
        <v>0</v>
      </c>
      <c r="HV8" s="98">
        <v>1493039</v>
      </c>
      <c r="HW8" s="98">
        <v>1089910</v>
      </c>
      <c r="HX8" s="98">
        <v>9113839</v>
      </c>
      <c r="HY8" s="98">
        <v>10122369</v>
      </c>
      <c r="HZ8" s="98">
        <v>6458263</v>
      </c>
      <c r="IA8" s="98">
        <v>8201920</v>
      </c>
      <c r="IB8" s="98">
        <v>1619158</v>
      </c>
      <c r="IC8" s="98">
        <v>2267848</v>
      </c>
      <c r="ID8" s="98">
        <v>14629288</v>
      </c>
      <c r="IE8" s="98">
        <v>13997226</v>
      </c>
      <c r="IF8" s="98">
        <v>8569081</v>
      </c>
      <c r="IG8" s="98">
        <v>8983035</v>
      </c>
      <c r="IH8" s="98">
        <v>453068</v>
      </c>
      <c r="II8" s="98">
        <v>509252</v>
      </c>
      <c r="IJ8" s="98">
        <v>5876337</v>
      </c>
      <c r="IK8" s="98">
        <v>6130176</v>
      </c>
      <c r="IL8" s="98">
        <v>1265971</v>
      </c>
      <c r="IM8" s="98">
        <v>2539378</v>
      </c>
      <c r="IN8" s="98">
        <v>0</v>
      </c>
      <c r="IO8" s="98">
        <v>0</v>
      </c>
      <c r="IP8" s="99">
        <v>261916</v>
      </c>
      <c r="IQ8" s="98">
        <v>267498</v>
      </c>
      <c r="IR8" s="98">
        <v>368410</v>
      </c>
      <c r="IS8" s="98">
        <v>403377</v>
      </c>
      <c r="IT8" s="98">
        <v>1169809</v>
      </c>
      <c r="IU8" s="98">
        <v>1179569</v>
      </c>
      <c r="IV8" s="98">
        <v>14464044</v>
      </c>
      <c r="IW8" s="98">
        <v>13347617</v>
      </c>
      <c r="IX8" s="98">
        <v>293424583</v>
      </c>
      <c r="IY8" s="98">
        <v>415231026</v>
      </c>
      <c r="IZ8" s="98">
        <v>1792817</v>
      </c>
      <c r="JA8" s="98">
        <v>1869634</v>
      </c>
      <c r="JB8" s="98">
        <v>2174081</v>
      </c>
      <c r="JC8" s="98">
        <v>2165031</v>
      </c>
      <c r="JD8" s="99">
        <v>6920655</v>
      </c>
      <c r="JE8" s="98">
        <v>8631762</v>
      </c>
      <c r="JF8" s="99">
        <v>4947084</v>
      </c>
      <c r="JG8" s="99">
        <v>4914361</v>
      </c>
      <c r="JH8" s="98">
        <v>1619358</v>
      </c>
      <c r="JI8" s="98">
        <v>2800050</v>
      </c>
      <c r="JJ8" s="99">
        <v>1687661</v>
      </c>
      <c r="JK8" s="98">
        <v>1599869</v>
      </c>
      <c r="JL8" s="98">
        <v>1208830</v>
      </c>
      <c r="JM8" s="98">
        <v>1147125</v>
      </c>
      <c r="JN8" s="98">
        <v>844810</v>
      </c>
      <c r="JO8" s="98">
        <v>0</v>
      </c>
      <c r="JP8" s="98">
        <v>0</v>
      </c>
      <c r="JQ8" s="98">
        <v>0</v>
      </c>
      <c r="JR8" s="98">
        <v>946159</v>
      </c>
      <c r="JS8" s="98">
        <v>971164</v>
      </c>
      <c r="JT8" s="98">
        <v>2654829</v>
      </c>
      <c r="JU8" s="98">
        <v>2539990</v>
      </c>
      <c r="JV8" s="98">
        <v>1560489</v>
      </c>
      <c r="JW8" s="98">
        <v>1666527</v>
      </c>
      <c r="JX8" s="98"/>
      <c r="JY8" s="98">
        <v>0</v>
      </c>
      <c r="JZ8" s="98">
        <v>792593</v>
      </c>
      <c r="KA8" s="98">
        <v>940932</v>
      </c>
      <c r="KB8" s="98">
        <v>2820436</v>
      </c>
      <c r="KC8" s="99">
        <v>3061110</v>
      </c>
      <c r="KD8" s="98">
        <v>888024</v>
      </c>
      <c r="KE8" s="98">
        <v>1018630</v>
      </c>
      <c r="KF8" s="98">
        <v>2101123</v>
      </c>
      <c r="KG8" s="98">
        <v>2134954</v>
      </c>
      <c r="KH8" s="98">
        <v>2432550</v>
      </c>
      <c r="KI8" s="98">
        <v>0</v>
      </c>
      <c r="KJ8" s="98">
        <v>351059</v>
      </c>
      <c r="KK8" s="98">
        <v>620262</v>
      </c>
      <c r="KL8" s="98">
        <v>581005</v>
      </c>
      <c r="KM8" s="98">
        <v>557061</v>
      </c>
      <c r="KN8" s="98">
        <v>2459965</v>
      </c>
      <c r="KO8" s="98">
        <v>2414887</v>
      </c>
      <c r="KP8" s="98">
        <v>1726851</v>
      </c>
      <c r="KQ8" s="98">
        <v>0</v>
      </c>
      <c r="KR8" s="98">
        <v>6335912</v>
      </c>
      <c r="KS8" s="98">
        <v>7381159</v>
      </c>
      <c r="KT8" s="98">
        <v>3930306</v>
      </c>
      <c r="KU8" s="98">
        <v>5693052</v>
      </c>
      <c r="KV8" s="98">
        <v>884250</v>
      </c>
      <c r="KW8" s="98">
        <v>0</v>
      </c>
      <c r="KX8" s="98">
        <v>676066</v>
      </c>
      <c r="KY8" s="98">
        <v>0</v>
      </c>
      <c r="KZ8" s="98">
        <v>3396162</v>
      </c>
      <c r="LA8" s="98">
        <v>2849028</v>
      </c>
      <c r="LB8" s="98">
        <v>498812</v>
      </c>
      <c r="LC8" s="98">
        <v>508674</v>
      </c>
      <c r="LD8" s="98">
        <v>1980507</v>
      </c>
      <c r="LE8" s="98">
        <v>2315656</v>
      </c>
      <c r="LF8" s="98">
        <v>114378448</v>
      </c>
      <c r="LG8" s="98">
        <v>107153570</v>
      </c>
      <c r="LH8" s="98">
        <v>3282505</v>
      </c>
      <c r="LI8" s="98">
        <v>3783108</v>
      </c>
      <c r="LJ8" s="98">
        <v>1254074</v>
      </c>
      <c r="LK8" s="98">
        <v>1400893</v>
      </c>
      <c r="LL8" s="98">
        <v>11424032</v>
      </c>
      <c r="LM8" s="98">
        <v>7477474</v>
      </c>
      <c r="LN8" s="98">
        <v>87480094</v>
      </c>
      <c r="LO8" s="98">
        <v>78946120</v>
      </c>
      <c r="LP8" s="98">
        <v>5749555</v>
      </c>
      <c r="LQ8" s="98">
        <v>5258517</v>
      </c>
      <c r="LR8" s="98">
        <v>31548146</v>
      </c>
      <c r="LS8" s="98">
        <v>41612000</v>
      </c>
      <c r="LT8" s="98">
        <v>1218744</v>
      </c>
      <c r="LU8" s="98">
        <v>925069</v>
      </c>
      <c r="LV8" s="98">
        <v>1756489</v>
      </c>
      <c r="LW8" s="98">
        <v>1567953</v>
      </c>
      <c r="LX8" s="98">
        <v>7536056</v>
      </c>
      <c r="LY8" s="98">
        <v>9081193</v>
      </c>
      <c r="LZ8" s="98">
        <v>0</v>
      </c>
      <c r="MA8" s="98">
        <v>0</v>
      </c>
      <c r="MB8" s="98">
        <v>1089910</v>
      </c>
      <c r="MC8" s="98">
        <v>1010371</v>
      </c>
      <c r="MD8" s="98">
        <v>10122369</v>
      </c>
      <c r="ME8" s="98">
        <v>6938247</v>
      </c>
      <c r="MF8" s="98">
        <v>8201920</v>
      </c>
      <c r="MG8" s="98">
        <v>10983043</v>
      </c>
      <c r="MH8" s="98">
        <v>2267848</v>
      </c>
      <c r="MI8" s="98">
        <v>2738013</v>
      </c>
      <c r="MJ8" s="98">
        <v>13997226</v>
      </c>
      <c r="MK8" s="98">
        <v>15976407</v>
      </c>
      <c r="ML8" s="98">
        <v>8983035</v>
      </c>
      <c r="MM8" s="98">
        <v>10258928</v>
      </c>
      <c r="MN8" s="98">
        <v>509252</v>
      </c>
      <c r="MO8" s="98">
        <v>638996</v>
      </c>
      <c r="MP8" s="98">
        <v>6130176</v>
      </c>
      <c r="MQ8" s="98">
        <v>14107214</v>
      </c>
      <c r="MR8" s="98">
        <v>2539378</v>
      </c>
      <c r="MS8" s="98">
        <v>3984270</v>
      </c>
      <c r="MT8" s="98">
        <v>1077002</v>
      </c>
      <c r="MU8" s="98">
        <v>1077002</v>
      </c>
      <c r="MV8" s="98">
        <v>267498</v>
      </c>
      <c r="MW8" s="98">
        <v>285011</v>
      </c>
      <c r="MX8" s="98">
        <v>403377</v>
      </c>
      <c r="MY8" s="98">
        <v>241831</v>
      </c>
      <c r="MZ8" s="98">
        <v>1179569</v>
      </c>
      <c r="NA8" s="98">
        <v>1367069</v>
      </c>
      <c r="NB8" s="98">
        <v>13347617</v>
      </c>
      <c r="NC8" s="98">
        <v>14006240</v>
      </c>
      <c r="ND8" s="98">
        <v>415231026</v>
      </c>
      <c r="NE8" s="98">
        <v>430085360</v>
      </c>
      <c r="NF8" s="98">
        <v>1869634</v>
      </c>
      <c r="NG8" s="98">
        <v>1864587</v>
      </c>
      <c r="NH8" s="759">
        <f t="shared" ref="NH8:OS8" si="0">SUM(NH5:NH7)</f>
        <v>2165031</v>
      </c>
      <c r="NI8" s="759">
        <f t="shared" si="0"/>
        <v>2020369</v>
      </c>
      <c r="NJ8" s="759">
        <f t="shared" si="0"/>
        <v>7344530</v>
      </c>
      <c r="NK8" s="759">
        <f t="shared" si="0"/>
        <v>10149754</v>
      </c>
      <c r="NL8" s="393">
        <v>4914361</v>
      </c>
      <c r="NM8" s="393">
        <f t="shared" si="0"/>
        <v>4567476</v>
      </c>
      <c r="NN8" s="759">
        <f>SUM(NN5:NN7)</f>
        <v>2806584</v>
      </c>
      <c r="NO8" s="759">
        <f>SUM(NO5:NO7)</f>
        <v>2469885</v>
      </c>
      <c r="NP8" s="393">
        <v>1599869</v>
      </c>
      <c r="NQ8" s="759">
        <f t="shared" si="0"/>
        <v>1672324</v>
      </c>
      <c r="NR8" s="759">
        <v>1147125</v>
      </c>
      <c r="NS8" s="759">
        <f t="shared" si="0"/>
        <v>1052613</v>
      </c>
      <c r="NT8" s="759">
        <v>844810</v>
      </c>
      <c r="NU8" s="759">
        <f t="shared" si="0"/>
        <v>0</v>
      </c>
      <c r="NV8" s="759">
        <f t="shared" si="0"/>
        <v>0</v>
      </c>
      <c r="NW8" s="759">
        <f t="shared" si="0"/>
        <v>0</v>
      </c>
      <c r="NX8" s="759">
        <f t="shared" si="0"/>
        <v>971164</v>
      </c>
      <c r="NY8" s="759">
        <f t="shared" si="0"/>
        <v>1014640</v>
      </c>
      <c r="NZ8" s="759">
        <f t="shared" si="0"/>
        <v>2542636</v>
      </c>
      <c r="OA8" s="759">
        <f t="shared" si="0"/>
        <v>2641542</v>
      </c>
      <c r="OB8" s="759">
        <v>1666527</v>
      </c>
      <c r="OC8" s="759">
        <f>SUM(OC5:OC7)</f>
        <v>1854548</v>
      </c>
      <c r="OD8" s="759">
        <f t="shared" si="0"/>
        <v>0</v>
      </c>
      <c r="OE8" s="759">
        <f t="shared" si="0"/>
        <v>0</v>
      </c>
      <c r="OF8" s="759">
        <f t="shared" si="0"/>
        <v>940932</v>
      </c>
      <c r="OG8" s="759">
        <f t="shared" si="0"/>
        <v>990328</v>
      </c>
      <c r="OH8" s="759">
        <v>3061110</v>
      </c>
      <c r="OI8" s="393">
        <f t="shared" si="0"/>
        <v>2976847</v>
      </c>
      <c r="OJ8" s="759">
        <v>1018630</v>
      </c>
      <c r="OK8" s="759">
        <f t="shared" si="0"/>
        <v>1030628</v>
      </c>
      <c r="OL8" s="759">
        <f>SUM(OL5:OL7)</f>
        <v>2134954</v>
      </c>
      <c r="OM8" s="759">
        <f t="shared" si="0"/>
        <v>3728212</v>
      </c>
      <c r="ON8" s="759">
        <f>SUM(ON5:ON7)</f>
        <v>0</v>
      </c>
      <c r="OO8" s="759">
        <f t="shared" si="0"/>
        <v>2068693</v>
      </c>
      <c r="OP8" s="759">
        <v>620262</v>
      </c>
      <c r="OQ8" s="759">
        <f t="shared" si="0"/>
        <v>520864</v>
      </c>
      <c r="OR8" s="759">
        <v>557061</v>
      </c>
      <c r="OS8" s="759">
        <f t="shared" si="0"/>
        <v>0</v>
      </c>
      <c r="OT8" s="759">
        <v>2414887</v>
      </c>
      <c r="OU8" s="759">
        <f t="shared" ref="OU8:PC8" si="1">SUM(OU5:OU7)</f>
        <v>2751319</v>
      </c>
      <c r="OV8" s="759">
        <f>SUM(OV5:OV7)</f>
        <v>0</v>
      </c>
      <c r="OW8" s="759">
        <f t="shared" si="1"/>
        <v>1721320</v>
      </c>
      <c r="OX8" s="759">
        <v>7381159</v>
      </c>
      <c r="OY8" s="759">
        <f t="shared" si="1"/>
        <v>11425920</v>
      </c>
      <c r="OZ8" s="759">
        <v>5693052</v>
      </c>
      <c r="PA8" s="759">
        <f t="shared" si="1"/>
        <v>1448302</v>
      </c>
      <c r="PB8" s="759">
        <f>SUM(PB5:PB7)</f>
        <v>898856</v>
      </c>
      <c r="PC8" s="759">
        <f t="shared" si="1"/>
        <v>910973</v>
      </c>
      <c r="PD8" s="759"/>
      <c r="PE8" s="759">
        <f>SUM(PE5:PE7)</f>
        <v>0</v>
      </c>
      <c r="PF8" s="759">
        <v>2849028</v>
      </c>
      <c r="PG8" s="759">
        <f>SUM(PG5:PG7)</f>
        <v>2870115</v>
      </c>
      <c r="PH8" s="759">
        <v>508674</v>
      </c>
      <c r="PI8" s="759">
        <f>SUM(PI5:PI7)</f>
        <v>0</v>
      </c>
      <c r="PJ8" s="759">
        <v>2315656</v>
      </c>
      <c r="PK8" s="759">
        <f>SUM(PK5:PK7)</f>
        <v>3782518</v>
      </c>
      <c r="PL8" s="759">
        <f>SUM(PL5:PL7)</f>
        <v>98365642</v>
      </c>
      <c r="PM8" s="759">
        <f>SUM(PM5:PM7)</f>
        <v>141998207</v>
      </c>
      <c r="PN8" s="759">
        <f>SUM(PN5:PN7)</f>
        <v>3817558</v>
      </c>
      <c r="PO8" s="759">
        <f>SUM(PO5:PO7)</f>
        <v>4281018</v>
      </c>
      <c r="PP8" s="759">
        <v>1400893</v>
      </c>
      <c r="PQ8" s="759">
        <f>SUM(PQ5:PQ7)</f>
        <v>1550973</v>
      </c>
      <c r="PR8" s="759">
        <v>7477474</v>
      </c>
      <c r="PS8" s="759">
        <f t="shared" ref="PS8:PY8" si="2">SUM(PS5:PS7)</f>
        <v>7592490</v>
      </c>
      <c r="PT8" s="759">
        <f t="shared" si="2"/>
        <v>76316837</v>
      </c>
      <c r="PU8" s="759">
        <f t="shared" si="2"/>
        <v>88513666</v>
      </c>
      <c r="PV8" s="759">
        <f t="shared" si="2"/>
        <v>5749555</v>
      </c>
      <c r="PW8" s="759">
        <f t="shared" si="2"/>
        <v>5258517</v>
      </c>
      <c r="PX8" s="759">
        <f t="shared" si="2"/>
        <v>43794000</v>
      </c>
      <c r="PY8" s="759">
        <f t="shared" si="2"/>
        <v>76730000</v>
      </c>
      <c r="PZ8" s="759">
        <v>925069</v>
      </c>
      <c r="QA8" s="759">
        <f t="shared" ref="QA8:QI8" si="3">SUM(QA5:QA7)</f>
        <v>936568</v>
      </c>
      <c r="QB8" s="759">
        <v>1567953</v>
      </c>
      <c r="QC8" s="759">
        <f t="shared" si="3"/>
        <v>2523748</v>
      </c>
      <c r="QD8" s="759">
        <f>SUM(QD5:QD7)</f>
        <v>9081193</v>
      </c>
      <c r="QE8" s="759">
        <f>+SUM(QE5:QE7)</f>
        <v>11174166</v>
      </c>
      <c r="QF8" s="759">
        <f t="shared" si="3"/>
        <v>0</v>
      </c>
      <c r="QG8" s="759">
        <f t="shared" si="3"/>
        <v>0</v>
      </c>
      <c r="QH8" s="759">
        <v>1010371</v>
      </c>
      <c r="QI8" s="759">
        <f t="shared" si="3"/>
        <v>1042129</v>
      </c>
      <c r="QJ8" s="759">
        <v>6938247</v>
      </c>
      <c r="QK8" s="759">
        <f t="shared" ref="QK8:RM8" si="4">SUM(QK5:QK7)</f>
        <v>5470559</v>
      </c>
      <c r="QL8" s="759">
        <v>10983043</v>
      </c>
      <c r="QM8" s="759">
        <f t="shared" si="4"/>
        <v>12713253</v>
      </c>
      <c r="QN8" s="759">
        <f t="shared" si="4"/>
        <v>2267848</v>
      </c>
      <c r="QO8" s="759">
        <f t="shared" si="4"/>
        <v>2738013</v>
      </c>
      <c r="QP8" s="759">
        <v>15976407</v>
      </c>
      <c r="QQ8" s="759">
        <f t="shared" si="4"/>
        <v>17561015</v>
      </c>
      <c r="QR8" s="759">
        <v>10258928</v>
      </c>
      <c r="QS8" s="759">
        <f t="shared" si="4"/>
        <v>11598125</v>
      </c>
      <c r="QT8" s="759">
        <v>638996</v>
      </c>
      <c r="QU8" s="759">
        <f t="shared" si="4"/>
        <v>819664</v>
      </c>
      <c r="QV8" s="759">
        <f t="shared" si="4"/>
        <v>6130176</v>
      </c>
      <c r="QW8" s="759">
        <f t="shared" si="4"/>
        <v>14107214</v>
      </c>
      <c r="QX8" s="759">
        <f t="shared" si="4"/>
        <v>3630862</v>
      </c>
      <c r="QY8" s="759">
        <f t="shared" si="4"/>
        <v>3050200</v>
      </c>
      <c r="QZ8" s="759">
        <f t="shared" si="4"/>
        <v>1077002</v>
      </c>
      <c r="RA8" s="759">
        <f t="shared" si="4"/>
        <v>1077002</v>
      </c>
      <c r="RB8" s="759">
        <v>285011</v>
      </c>
      <c r="RC8" s="759">
        <f t="shared" si="4"/>
        <v>313805</v>
      </c>
      <c r="RD8" s="759">
        <f t="shared" si="4"/>
        <v>403377</v>
      </c>
      <c r="RE8" s="759">
        <f>SUM(RE5:RE7)</f>
        <v>241831</v>
      </c>
      <c r="RF8" s="759">
        <v>1367069</v>
      </c>
      <c r="RG8" s="759">
        <f t="shared" si="4"/>
        <v>0</v>
      </c>
      <c r="RH8" s="759">
        <f t="shared" si="4"/>
        <v>13347617</v>
      </c>
      <c r="RI8" s="759">
        <f t="shared" si="4"/>
        <v>14006240</v>
      </c>
      <c r="RJ8" s="759">
        <f t="shared" si="4"/>
        <v>311180081</v>
      </c>
      <c r="RK8" s="759">
        <f t="shared" si="4"/>
        <v>345003950</v>
      </c>
      <c r="RL8" s="759">
        <v>1864587</v>
      </c>
      <c r="RM8" s="759">
        <f t="shared" si="4"/>
        <v>2005715</v>
      </c>
      <c r="RN8" s="98">
        <v>1497563</v>
      </c>
      <c r="RO8" s="98">
        <v>1557336</v>
      </c>
      <c r="RP8" s="98">
        <v>10326005</v>
      </c>
      <c r="RQ8" s="98">
        <v>8547678</v>
      </c>
      <c r="RR8" s="99">
        <v>4567476</v>
      </c>
      <c r="RS8" s="98">
        <v>4489442</v>
      </c>
      <c r="RT8" s="98">
        <v>2455750</v>
      </c>
      <c r="RU8" s="98">
        <v>2013414</v>
      </c>
      <c r="RV8" s="98">
        <v>1672324</v>
      </c>
      <c r="RW8" s="98">
        <v>1703930</v>
      </c>
      <c r="RX8" s="98">
        <v>1284007</v>
      </c>
      <c r="RY8" s="98">
        <v>1302359</v>
      </c>
      <c r="RZ8" s="98">
        <v>0</v>
      </c>
      <c r="SA8" s="98">
        <v>0</v>
      </c>
      <c r="SB8" s="98">
        <v>0</v>
      </c>
      <c r="SC8" s="98">
        <v>0</v>
      </c>
      <c r="SD8" s="98">
        <v>1014640</v>
      </c>
      <c r="SE8" s="98">
        <v>716887</v>
      </c>
      <c r="SF8" s="98">
        <v>2755764</v>
      </c>
      <c r="SG8" s="98">
        <v>2738730</v>
      </c>
      <c r="SH8" s="98">
        <v>1854548</v>
      </c>
      <c r="SI8" s="98">
        <v>1919896</v>
      </c>
      <c r="SJ8" s="98">
        <v>0</v>
      </c>
      <c r="SK8" s="98">
        <v>0</v>
      </c>
      <c r="SL8" s="98">
        <v>990328</v>
      </c>
      <c r="SM8" s="98">
        <v>1090902</v>
      </c>
      <c r="SN8" s="99">
        <v>2976847</v>
      </c>
      <c r="SO8" s="98">
        <v>2519797</v>
      </c>
      <c r="SP8" s="98">
        <v>1030628</v>
      </c>
      <c r="SQ8" s="98">
        <v>1146193</v>
      </c>
      <c r="SR8" s="98">
        <v>4131717</v>
      </c>
      <c r="SS8" s="98">
        <v>4695179</v>
      </c>
      <c r="ST8" s="98">
        <v>2068693</v>
      </c>
      <c r="SU8" s="98"/>
      <c r="SV8" s="98">
        <v>523253</v>
      </c>
      <c r="SW8" s="98">
        <v>579107</v>
      </c>
      <c r="SX8" s="98">
        <v>537472</v>
      </c>
      <c r="SY8" s="98">
        <v>1545366</v>
      </c>
      <c r="SZ8" s="98">
        <v>2692635</v>
      </c>
      <c r="TA8" s="98">
        <v>3334308</v>
      </c>
      <c r="TB8" s="98">
        <v>1721320</v>
      </c>
      <c r="TC8" s="98">
        <v>0</v>
      </c>
      <c r="TD8" s="98">
        <v>17970396</v>
      </c>
      <c r="TE8" s="98">
        <v>20048914</v>
      </c>
      <c r="TF8" s="98">
        <v>1444529</v>
      </c>
      <c r="TG8" s="98">
        <v>1331062</v>
      </c>
      <c r="TH8" s="98">
        <v>897816</v>
      </c>
      <c r="TI8" s="98">
        <v>929192</v>
      </c>
      <c r="TJ8" s="98">
        <v>0</v>
      </c>
      <c r="TK8" s="98">
        <v>0</v>
      </c>
      <c r="TL8" s="98">
        <v>2207727</v>
      </c>
      <c r="TM8" s="98">
        <v>2504847</v>
      </c>
      <c r="TN8" s="98">
        <v>0</v>
      </c>
      <c r="TO8" s="98">
        <v>651508</v>
      </c>
      <c r="TP8" s="98">
        <v>3422439</v>
      </c>
      <c r="TQ8" s="98">
        <v>3270643</v>
      </c>
      <c r="TR8" s="98">
        <v>141998207</v>
      </c>
      <c r="TS8" s="98">
        <v>130172342</v>
      </c>
      <c r="TT8" s="98">
        <v>4281018</v>
      </c>
      <c r="TU8" s="98">
        <v>3827196</v>
      </c>
      <c r="TV8" s="98">
        <v>1360009000</v>
      </c>
      <c r="TW8" s="98">
        <v>1290733000</v>
      </c>
      <c r="TX8" s="98">
        <v>7592490</v>
      </c>
      <c r="TY8" s="98">
        <v>7960850</v>
      </c>
      <c r="TZ8" s="98">
        <v>88513666</v>
      </c>
      <c r="UA8" s="98">
        <v>100301759</v>
      </c>
      <c r="UB8" s="98">
        <v>5258517</v>
      </c>
      <c r="UC8" s="98">
        <v>0</v>
      </c>
      <c r="UD8" s="98">
        <v>76730000</v>
      </c>
      <c r="UE8" s="98">
        <v>78370000</v>
      </c>
      <c r="UF8" s="98">
        <v>936568</v>
      </c>
      <c r="UG8" s="98">
        <v>2419725</v>
      </c>
      <c r="UH8" s="98">
        <v>2826133</v>
      </c>
      <c r="UI8" s="98">
        <v>3228750</v>
      </c>
      <c r="UJ8" s="98">
        <v>12457108</v>
      </c>
      <c r="UK8" s="98">
        <v>11648774</v>
      </c>
      <c r="UL8" s="98">
        <v>0</v>
      </c>
      <c r="UM8" s="98">
        <v>0</v>
      </c>
      <c r="UN8" s="98">
        <v>1042129</v>
      </c>
      <c r="UO8" s="98">
        <v>1065471</v>
      </c>
      <c r="UP8" s="98">
        <v>5379814</v>
      </c>
      <c r="UQ8" s="98">
        <v>4735294</v>
      </c>
      <c r="UR8" s="98">
        <v>12713253</v>
      </c>
      <c r="US8" s="98">
        <v>21223386</v>
      </c>
      <c r="UT8" s="98">
        <v>2738013</v>
      </c>
      <c r="UU8" s="98">
        <v>0</v>
      </c>
      <c r="UV8" s="98">
        <v>17561015</v>
      </c>
      <c r="UW8" s="98">
        <v>18678540</v>
      </c>
      <c r="UX8" s="98">
        <v>13702607</v>
      </c>
      <c r="UY8" s="98">
        <v>12251087</v>
      </c>
      <c r="UZ8" s="98">
        <v>819664</v>
      </c>
      <c r="VA8" s="98">
        <v>851930</v>
      </c>
      <c r="VB8" s="98">
        <v>11679955</v>
      </c>
      <c r="VC8" s="98">
        <v>13110196</v>
      </c>
      <c r="VD8" s="98">
        <v>5270570</v>
      </c>
      <c r="VE8" s="98">
        <v>6145622</v>
      </c>
      <c r="VF8" s="98">
        <v>1077002</v>
      </c>
      <c r="VG8" s="98">
        <v>0</v>
      </c>
      <c r="VH8" s="98">
        <v>313805</v>
      </c>
      <c r="VI8" s="98">
        <v>321901</v>
      </c>
      <c r="VJ8" s="98">
        <v>233915</v>
      </c>
      <c r="VK8" s="98">
        <v>239971</v>
      </c>
      <c r="VL8" s="98">
        <v>0</v>
      </c>
      <c r="VM8" s="98">
        <v>1808206</v>
      </c>
      <c r="VN8" s="98">
        <v>14006240</v>
      </c>
      <c r="VO8" s="98">
        <v>0</v>
      </c>
      <c r="VP8" s="98">
        <v>345003950</v>
      </c>
      <c r="VQ8" s="98">
        <v>352771215</v>
      </c>
      <c r="VR8" s="98">
        <v>2005715</v>
      </c>
      <c r="VS8" s="98">
        <v>2240607</v>
      </c>
      <c r="VT8" s="98">
        <v>1557336</v>
      </c>
      <c r="VU8" s="98">
        <v>1663938</v>
      </c>
      <c r="VV8" s="98">
        <v>8679608</v>
      </c>
      <c r="VW8" s="98">
        <v>9223024</v>
      </c>
      <c r="VX8" s="99">
        <v>4489442</v>
      </c>
      <c r="VY8" s="98">
        <v>4605168</v>
      </c>
      <c r="VZ8" s="98">
        <v>2013414</v>
      </c>
      <c r="WA8" s="98">
        <v>1743211</v>
      </c>
      <c r="WB8" s="98">
        <v>1703930</v>
      </c>
      <c r="WC8" s="98">
        <v>2283279</v>
      </c>
      <c r="WD8" s="98">
        <v>1302359</v>
      </c>
      <c r="WE8" s="98">
        <v>1068473</v>
      </c>
      <c r="WF8" s="98">
        <v>0</v>
      </c>
      <c r="WG8" s="98">
        <v>0</v>
      </c>
      <c r="WH8" s="98">
        <v>0</v>
      </c>
      <c r="WI8" s="98">
        <v>0</v>
      </c>
      <c r="WJ8" s="98">
        <v>716887</v>
      </c>
      <c r="WK8" s="98">
        <v>647783</v>
      </c>
      <c r="WL8" s="98">
        <v>1236686</v>
      </c>
      <c r="WM8" s="98">
        <v>1169755</v>
      </c>
      <c r="WN8" s="98">
        <v>1919896</v>
      </c>
      <c r="WO8" s="98">
        <v>2499661</v>
      </c>
      <c r="WP8" s="98">
        <v>0</v>
      </c>
      <c r="WQ8" s="98">
        <v>0</v>
      </c>
      <c r="WR8" s="98">
        <v>1000958</v>
      </c>
      <c r="WS8" s="98">
        <v>1209017</v>
      </c>
      <c r="WT8" s="99">
        <v>2519797</v>
      </c>
      <c r="WU8" s="98">
        <v>1770085</v>
      </c>
      <c r="WV8" s="98">
        <v>1146193</v>
      </c>
      <c r="WW8" s="98">
        <v>1129994</v>
      </c>
      <c r="WX8" s="98">
        <v>4695179</v>
      </c>
      <c r="WY8" s="98">
        <v>4295322</v>
      </c>
      <c r="WZ8" s="98">
        <v>0</v>
      </c>
      <c r="XA8" s="98">
        <v>1865584</v>
      </c>
      <c r="XB8" s="98">
        <v>579107</v>
      </c>
      <c r="XC8" s="98">
        <v>618056</v>
      </c>
      <c r="XD8" s="98">
        <v>1725831</v>
      </c>
      <c r="XE8" s="98">
        <v>2561145</v>
      </c>
      <c r="XF8" s="98">
        <v>3334308</v>
      </c>
      <c r="XG8" s="98">
        <v>3553167</v>
      </c>
      <c r="XH8" s="98">
        <v>1450820</v>
      </c>
      <c r="XI8" s="98">
        <v>1074463</v>
      </c>
      <c r="XJ8" s="98">
        <v>20048914</v>
      </c>
      <c r="XK8" s="98">
        <v>21592450</v>
      </c>
      <c r="XL8" s="98">
        <v>1331062</v>
      </c>
      <c r="XM8" s="98">
        <v>1295489</v>
      </c>
      <c r="XN8" s="98">
        <v>858702</v>
      </c>
      <c r="XO8" s="98">
        <v>783718</v>
      </c>
      <c r="XP8" s="98">
        <v>0</v>
      </c>
      <c r="XQ8" s="98">
        <v>0</v>
      </c>
      <c r="XR8" s="98">
        <v>2504847</v>
      </c>
      <c r="XS8" s="98">
        <v>2543552</v>
      </c>
      <c r="XT8" s="98">
        <v>651508</v>
      </c>
      <c r="XU8" s="98">
        <v>42541</v>
      </c>
      <c r="XV8" s="98">
        <v>3319565</v>
      </c>
      <c r="XW8" s="98">
        <v>3301011</v>
      </c>
      <c r="XX8" s="98">
        <v>130172342</v>
      </c>
      <c r="XY8" s="98">
        <v>117016155</v>
      </c>
      <c r="XZ8" s="98">
        <v>4458229</v>
      </c>
      <c r="YA8" s="98">
        <v>6544463</v>
      </c>
      <c r="YB8" s="98">
        <v>1290733</v>
      </c>
      <c r="YC8" s="98">
        <v>1435861</v>
      </c>
      <c r="YD8" s="98">
        <v>8497089</v>
      </c>
      <c r="YE8" s="98">
        <v>8718980</v>
      </c>
      <c r="YF8" s="98">
        <v>100301759</v>
      </c>
      <c r="YG8" s="98">
        <v>89210116</v>
      </c>
      <c r="YH8" s="98">
        <v>0</v>
      </c>
      <c r="YI8" s="98">
        <v>0</v>
      </c>
      <c r="YJ8" s="98">
        <v>78370000</v>
      </c>
      <c r="YK8" s="98">
        <v>0</v>
      </c>
      <c r="YL8" s="98">
        <v>2055638747</v>
      </c>
      <c r="YM8" s="98">
        <v>2652428303</v>
      </c>
      <c r="YN8" s="98">
        <v>3228750</v>
      </c>
      <c r="YO8" s="98">
        <v>3155632</v>
      </c>
      <c r="YP8" s="98">
        <v>11648774</v>
      </c>
      <c r="YQ8" s="98">
        <v>10534031</v>
      </c>
      <c r="YR8" s="98">
        <v>0</v>
      </c>
      <c r="YS8" s="98">
        <v>0</v>
      </c>
      <c r="YT8" s="98">
        <v>1065471</v>
      </c>
      <c r="YU8" s="98">
        <v>1017781</v>
      </c>
      <c r="YV8" s="98">
        <v>4735294</v>
      </c>
      <c r="YW8" s="98">
        <v>4142137</v>
      </c>
      <c r="YX8" s="98">
        <v>21223386</v>
      </c>
      <c r="YY8" s="98">
        <v>26480399</v>
      </c>
      <c r="YZ8" s="98">
        <v>2219879</v>
      </c>
      <c r="ZA8" s="98">
        <v>2333249</v>
      </c>
      <c r="ZB8" s="98">
        <v>18678540</v>
      </c>
      <c r="ZC8" s="98">
        <v>18416352</v>
      </c>
      <c r="ZD8" s="98">
        <v>12251087</v>
      </c>
      <c r="ZE8" s="98">
        <v>11249865</v>
      </c>
      <c r="ZF8" s="98">
        <v>851930</v>
      </c>
      <c r="ZG8" s="98">
        <v>894165</v>
      </c>
      <c r="ZH8" s="98">
        <v>13110196</v>
      </c>
      <c r="ZI8" s="98">
        <v>15777584</v>
      </c>
      <c r="ZJ8" s="98">
        <v>6145622</v>
      </c>
      <c r="ZK8" s="98">
        <v>5670935</v>
      </c>
      <c r="ZL8" s="98">
        <v>0</v>
      </c>
      <c r="ZM8" s="98">
        <v>0</v>
      </c>
      <c r="ZN8" s="98">
        <v>321901</v>
      </c>
      <c r="ZO8" s="98">
        <v>327690</v>
      </c>
      <c r="ZP8" s="98">
        <v>239971</v>
      </c>
      <c r="ZQ8" s="98">
        <v>0</v>
      </c>
      <c r="ZR8" s="98">
        <v>1808206</v>
      </c>
      <c r="ZS8" s="98">
        <v>1801511</v>
      </c>
      <c r="ZT8" s="98">
        <v>0</v>
      </c>
      <c r="ZU8" s="98">
        <v>0</v>
      </c>
      <c r="ZV8" s="98">
        <v>352771215</v>
      </c>
      <c r="ZW8" s="98">
        <v>354880770</v>
      </c>
      <c r="ZX8" s="98">
        <v>2230389</v>
      </c>
      <c r="ZY8" s="98">
        <v>2195857</v>
      </c>
      <c r="ZZ8" s="605"/>
      <c r="AAA8" s="605"/>
      <c r="AAB8" s="605"/>
      <c r="AAC8" s="605"/>
      <c r="AAD8" s="605"/>
      <c r="AAE8" s="605"/>
      <c r="AAF8" s="605"/>
      <c r="AAG8" s="605"/>
      <c r="AAH8" s="605"/>
      <c r="AAI8" s="605"/>
      <c r="AAJ8" s="605"/>
      <c r="AAK8" s="605"/>
      <c r="AAL8" s="605"/>
      <c r="AAM8" s="605"/>
      <c r="AAN8" s="605"/>
      <c r="AAO8" s="605"/>
      <c r="AAP8" s="605"/>
      <c r="AAQ8" s="605"/>
      <c r="AAR8" s="605"/>
      <c r="AAS8" s="605"/>
      <c r="AAT8" s="605"/>
      <c r="AAU8" s="605"/>
      <c r="AAV8" s="605"/>
      <c r="AAW8" s="605"/>
      <c r="AAX8" s="605"/>
      <c r="AAY8" s="605"/>
      <c r="AAZ8" s="605"/>
      <c r="ABA8" s="605"/>
      <c r="ABB8" s="605"/>
      <c r="ABC8" s="605"/>
      <c r="ABD8" s="605"/>
      <c r="ABE8" s="605"/>
      <c r="ABF8" s="605"/>
      <c r="ABG8" s="605"/>
      <c r="ABH8" s="605"/>
      <c r="ABI8" s="605"/>
      <c r="ABJ8" s="605"/>
      <c r="ABK8" s="605"/>
      <c r="ABL8" s="605"/>
      <c r="ABM8" s="605"/>
      <c r="ABN8" s="605"/>
      <c r="ABO8" s="605"/>
      <c r="ABP8" s="605"/>
      <c r="ABQ8" s="605"/>
      <c r="ABR8" s="605"/>
      <c r="ABS8" s="605"/>
      <c r="ABT8" s="605"/>
      <c r="ABU8" s="605"/>
      <c r="ABV8" s="605"/>
      <c r="ABW8" s="605"/>
      <c r="ABX8" s="605"/>
      <c r="ABY8" s="605"/>
      <c r="ABZ8" s="605"/>
      <c r="ACA8" s="605"/>
      <c r="ACB8" s="605"/>
      <c r="ACC8" s="605"/>
      <c r="ACD8" s="605"/>
      <c r="ACE8" s="605"/>
      <c r="ACF8" s="605"/>
      <c r="ACG8" s="605"/>
      <c r="ACH8" s="605"/>
      <c r="ACI8" s="605"/>
      <c r="ACJ8" s="605"/>
      <c r="ACK8" s="605"/>
      <c r="ACL8" s="605"/>
      <c r="ACM8" s="605"/>
      <c r="ACN8" s="605"/>
      <c r="ACO8" s="605"/>
      <c r="ACP8" s="605"/>
      <c r="ACQ8" s="605"/>
      <c r="ACR8" s="605"/>
      <c r="ACS8" s="605"/>
      <c r="ACT8" s="605"/>
      <c r="ACU8" s="605"/>
      <c r="ACV8" s="605"/>
      <c r="ACW8" s="605"/>
      <c r="ACX8" s="605"/>
      <c r="ACY8" s="605"/>
      <c r="ACZ8" s="605"/>
      <c r="ADA8" s="605"/>
      <c r="ADB8" s="605"/>
      <c r="ADC8" s="605"/>
      <c r="ADD8" s="605"/>
      <c r="ADE8" s="605"/>
      <c r="ADF8" s="605"/>
      <c r="ADG8" s="605"/>
      <c r="ADH8" s="605"/>
      <c r="ADI8" s="605"/>
      <c r="ADJ8" s="605"/>
      <c r="ADK8" s="605"/>
      <c r="ADL8" s="605"/>
      <c r="ADM8" s="605"/>
      <c r="ADN8" s="605"/>
      <c r="ADO8" s="605"/>
      <c r="ADP8" s="605"/>
      <c r="ADQ8" s="605"/>
      <c r="ADR8" s="605"/>
      <c r="ADS8" s="605"/>
      <c r="ADT8" s="605"/>
      <c r="ADU8" s="605"/>
      <c r="ADV8" s="605"/>
      <c r="ADW8" s="605"/>
      <c r="ADX8" s="605"/>
      <c r="ADY8" s="605"/>
      <c r="ADZ8" s="605"/>
      <c r="AEA8" s="605"/>
      <c r="AEB8" s="605"/>
      <c r="AEC8" s="605"/>
      <c r="AED8" s="605"/>
      <c r="AEE8" s="605"/>
      <c r="AEF8" s="605"/>
      <c r="AEG8" s="605"/>
      <c r="AEH8" s="605"/>
      <c r="AEI8" s="605"/>
      <c r="AEJ8" s="605"/>
      <c r="AEK8" s="605"/>
      <c r="AEL8" s="605"/>
      <c r="AEM8" s="605"/>
      <c r="AEN8" s="605"/>
      <c r="AEO8" s="605"/>
      <c r="AEP8" s="605"/>
      <c r="AEQ8" s="605"/>
      <c r="AER8" s="605"/>
      <c r="AES8" s="605"/>
      <c r="AET8" s="605"/>
      <c r="AEU8" s="605"/>
      <c r="AEV8" s="605"/>
      <c r="AEW8" s="605"/>
      <c r="AEX8" s="605"/>
      <c r="AEY8" s="605"/>
      <c r="AEZ8" s="605"/>
      <c r="AFA8" s="605"/>
      <c r="AFB8" s="605"/>
      <c r="AFC8" s="605"/>
      <c r="AFD8" s="605"/>
      <c r="AFE8" s="605"/>
      <c r="AFF8" s="605"/>
      <c r="AFG8" s="605"/>
      <c r="AFH8" s="605"/>
      <c r="AFI8" s="605"/>
      <c r="AFJ8" s="605"/>
      <c r="AFK8" s="605"/>
      <c r="AFL8" s="605"/>
      <c r="AFM8" s="605"/>
      <c r="AFN8" s="605"/>
      <c r="AFO8" s="605"/>
      <c r="AFP8" s="605"/>
      <c r="AFQ8" s="605"/>
      <c r="AFR8" s="605"/>
      <c r="AFS8" s="605"/>
      <c r="AFT8" s="605"/>
      <c r="AFU8" s="605"/>
      <c r="AFV8" s="605"/>
      <c r="AFW8" s="605"/>
      <c r="AFX8" s="605"/>
      <c r="AFY8" s="605"/>
      <c r="AFZ8" s="605"/>
      <c r="AGA8" s="605"/>
      <c r="AGB8" s="605"/>
      <c r="AGC8" s="605"/>
      <c r="AGD8" s="605"/>
      <c r="AGE8" s="605"/>
      <c r="AGF8" s="605"/>
      <c r="AGG8" s="605"/>
      <c r="AGH8" s="605"/>
      <c r="AGI8" s="605"/>
      <c r="AGJ8" s="605"/>
      <c r="AGK8" s="605"/>
      <c r="AGL8" s="605"/>
      <c r="AGM8" s="605"/>
      <c r="AGN8" s="605"/>
      <c r="AGO8" s="605"/>
      <c r="AGP8" s="605"/>
      <c r="AGQ8" s="605"/>
      <c r="AGR8" s="605"/>
      <c r="AGS8" s="605"/>
      <c r="AGT8" s="605"/>
      <c r="AGU8" s="605"/>
      <c r="AGV8" s="605"/>
      <c r="AGW8" s="605"/>
      <c r="AGX8" s="605"/>
      <c r="AGY8" s="605"/>
      <c r="AGZ8" s="605"/>
      <c r="AHA8" s="605"/>
      <c r="AHB8" s="605"/>
      <c r="AHC8" s="605"/>
      <c r="AHD8" s="605"/>
      <c r="AHE8" s="605"/>
      <c r="AHF8" s="605"/>
      <c r="AHG8" s="605"/>
      <c r="AHH8" s="605"/>
      <c r="AHI8" s="605"/>
      <c r="AHJ8" s="605"/>
      <c r="AHK8" s="605"/>
      <c r="AHL8" s="605"/>
      <c r="AHM8" s="605"/>
      <c r="AHN8" s="605"/>
      <c r="AHO8" s="605"/>
      <c r="AHP8" s="605"/>
      <c r="AHQ8" s="605"/>
      <c r="AHR8" s="605"/>
      <c r="AHS8" s="605"/>
      <c r="AHT8" s="605"/>
      <c r="AHU8" s="605"/>
      <c r="AHV8" s="605"/>
      <c r="AHW8" s="605"/>
      <c r="AHX8" s="605"/>
      <c r="AHY8" s="605"/>
      <c r="AHZ8" s="605"/>
      <c r="AIA8" s="605"/>
      <c r="AIB8" s="605"/>
      <c r="AIC8" s="605"/>
      <c r="AID8" s="605"/>
      <c r="AIE8" s="605"/>
      <c r="AIF8" s="605"/>
      <c r="AIG8" s="605"/>
      <c r="AIH8" s="605"/>
      <c r="AII8" s="605"/>
      <c r="AIJ8" s="605"/>
      <c r="AIK8" s="605"/>
      <c r="AIL8" s="605"/>
      <c r="AIM8" s="605"/>
      <c r="AIN8" s="605"/>
      <c r="AIO8" s="605"/>
      <c r="AIP8" s="605"/>
      <c r="AIQ8" s="605"/>
      <c r="AIR8" s="605"/>
      <c r="AIS8" s="605"/>
      <c r="AIT8" s="605"/>
      <c r="AIU8" s="605"/>
      <c r="AIV8" s="605"/>
      <c r="AIW8" s="605"/>
      <c r="AIX8" s="605"/>
      <c r="AIY8" s="605"/>
      <c r="AIZ8" s="605"/>
      <c r="AJA8" s="605"/>
      <c r="AJB8" s="605"/>
      <c r="AJC8" s="605"/>
      <c r="AJD8" s="605"/>
      <c r="AJE8" s="605"/>
      <c r="AJF8" s="605"/>
      <c r="AJG8" s="605"/>
      <c r="AJH8" s="605"/>
      <c r="AJI8" s="605"/>
      <c r="AJJ8" s="605"/>
      <c r="AJK8" s="605"/>
      <c r="AJL8" s="605"/>
      <c r="AJM8" s="605"/>
      <c r="AJN8" s="605"/>
      <c r="AJO8" s="605"/>
    </row>
    <row r="9" spans="1:951" x14ac:dyDescent="0.25">
      <c r="A9" s="90" t="s">
        <v>11</v>
      </c>
      <c r="B9" s="96">
        <v>0</v>
      </c>
      <c r="C9" s="96">
        <v>0</v>
      </c>
      <c r="D9" s="99"/>
      <c r="E9" s="99"/>
      <c r="F9" s="99"/>
      <c r="G9" s="96"/>
      <c r="H9" s="96"/>
      <c r="I9" s="96"/>
      <c r="J9" s="96"/>
      <c r="K9" s="96"/>
      <c r="L9" s="96">
        <v>0</v>
      </c>
      <c r="M9" s="96">
        <v>0</v>
      </c>
      <c r="N9" s="96">
        <v>0</v>
      </c>
      <c r="O9" s="96"/>
      <c r="P9" s="96"/>
      <c r="Q9" s="96">
        <v>0</v>
      </c>
      <c r="R9" s="96">
        <v>0</v>
      </c>
      <c r="S9" s="96">
        <v>0</v>
      </c>
      <c r="T9" s="96"/>
      <c r="U9" s="96"/>
      <c r="V9" s="96">
        <v>0</v>
      </c>
      <c r="W9" s="96">
        <v>0</v>
      </c>
      <c r="X9" s="96">
        <v>0</v>
      </c>
      <c r="Y9" s="96">
        <v>0</v>
      </c>
      <c r="Z9" s="96">
        <v>0</v>
      </c>
      <c r="AA9" s="96">
        <v>0</v>
      </c>
      <c r="AB9" s="96">
        <v>0</v>
      </c>
      <c r="AC9" s="96">
        <v>0</v>
      </c>
      <c r="AD9" s="96">
        <v>0</v>
      </c>
      <c r="AE9" s="96">
        <v>0</v>
      </c>
      <c r="AF9" s="96"/>
      <c r="AG9" s="96">
        <v>0</v>
      </c>
      <c r="AH9" s="96">
        <v>0</v>
      </c>
      <c r="AI9" s="96"/>
      <c r="AJ9" s="96"/>
      <c r="AK9" s="96">
        <v>0</v>
      </c>
      <c r="AL9" s="96">
        <v>0</v>
      </c>
      <c r="AM9" s="96">
        <v>0</v>
      </c>
      <c r="AN9" s="96"/>
      <c r="AO9" s="96"/>
      <c r="AP9" s="96">
        <v>0</v>
      </c>
      <c r="AQ9" s="96"/>
      <c r="AR9" s="96"/>
      <c r="AS9" s="96"/>
      <c r="AT9" s="96"/>
      <c r="AU9" s="96"/>
      <c r="AV9" s="96"/>
      <c r="AW9" s="96">
        <v>0</v>
      </c>
      <c r="AX9" s="96">
        <v>0</v>
      </c>
      <c r="AY9" s="96">
        <v>0</v>
      </c>
      <c r="AZ9" s="96"/>
      <c r="BA9" s="96"/>
      <c r="BB9" s="96">
        <v>0</v>
      </c>
      <c r="BC9" s="96">
        <v>0</v>
      </c>
      <c r="BD9" s="96">
        <v>0</v>
      </c>
      <c r="BE9" s="96">
        <v>0</v>
      </c>
      <c r="BF9" s="96">
        <v>0</v>
      </c>
      <c r="BG9" s="96">
        <v>0</v>
      </c>
      <c r="BH9" s="96">
        <v>0</v>
      </c>
      <c r="BI9" s="96">
        <v>0</v>
      </c>
      <c r="BJ9" s="96"/>
      <c r="BK9" s="96"/>
      <c r="BL9" s="96">
        <v>0</v>
      </c>
      <c r="BM9" s="96">
        <v>0</v>
      </c>
      <c r="BN9" s="96">
        <v>0</v>
      </c>
      <c r="BO9" s="96"/>
      <c r="BP9" s="96"/>
      <c r="BQ9" s="96">
        <v>0</v>
      </c>
      <c r="BR9" s="96">
        <v>0</v>
      </c>
      <c r="BS9" s="96">
        <v>0</v>
      </c>
      <c r="BT9" s="96">
        <v>0</v>
      </c>
      <c r="BU9" s="96">
        <v>0</v>
      </c>
      <c r="BV9" s="96">
        <v>0</v>
      </c>
      <c r="BW9" s="96">
        <v>0</v>
      </c>
      <c r="BX9" s="96">
        <v>0</v>
      </c>
      <c r="BY9" s="96">
        <v>0</v>
      </c>
      <c r="BZ9" s="96">
        <v>0</v>
      </c>
      <c r="CA9" s="96">
        <v>0</v>
      </c>
      <c r="CB9" s="96">
        <v>0</v>
      </c>
      <c r="CC9" s="96">
        <v>0</v>
      </c>
      <c r="CD9" s="96"/>
      <c r="CE9" s="96"/>
      <c r="CF9" s="96"/>
      <c r="CG9" s="96"/>
      <c r="CH9" s="96"/>
      <c r="CI9" s="96">
        <v>0</v>
      </c>
      <c r="CJ9" s="96">
        <v>0</v>
      </c>
      <c r="CK9" s="96">
        <v>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6">
        <v>0</v>
      </c>
      <c r="CR9" s="96">
        <v>0</v>
      </c>
      <c r="CS9" s="96">
        <v>0</v>
      </c>
      <c r="CT9" s="96">
        <v>0</v>
      </c>
      <c r="CU9" s="96">
        <v>0</v>
      </c>
      <c r="CV9" s="96">
        <v>0</v>
      </c>
      <c r="CW9" s="96">
        <v>0</v>
      </c>
      <c r="CX9" s="96">
        <v>0</v>
      </c>
      <c r="CY9" s="96">
        <v>0</v>
      </c>
      <c r="CZ9" s="96">
        <v>0</v>
      </c>
      <c r="DA9" s="96"/>
      <c r="DB9" s="96"/>
      <c r="DC9" s="96">
        <v>0</v>
      </c>
      <c r="DD9" s="96">
        <v>0</v>
      </c>
      <c r="DE9" s="96">
        <v>0</v>
      </c>
      <c r="DF9" s="96">
        <v>0</v>
      </c>
      <c r="DG9" s="96">
        <v>0</v>
      </c>
      <c r="DH9" s="96">
        <v>0</v>
      </c>
      <c r="DI9" s="96">
        <v>0</v>
      </c>
      <c r="DJ9" s="96">
        <v>0</v>
      </c>
      <c r="DK9" s="96"/>
      <c r="DL9" s="96"/>
      <c r="DM9" s="101"/>
      <c r="DN9" s="96">
        <v>0</v>
      </c>
      <c r="DO9" s="96">
        <v>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6">
        <v>0</v>
      </c>
      <c r="DW9" s="96">
        <v>0</v>
      </c>
      <c r="DX9" s="96">
        <v>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v>0</v>
      </c>
      <c r="EE9" s="96">
        <v>0</v>
      </c>
      <c r="EF9" s="96">
        <v>0</v>
      </c>
      <c r="EG9" s="96">
        <v>0</v>
      </c>
      <c r="EH9" s="96">
        <v>0</v>
      </c>
      <c r="EI9" s="96">
        <v>0</v>
      </c>
      <c r="EJ9" s="96">
        <v>0</v>
      </c>
      <c r="EK9" s="96">
        <v>0</v>
      </c>
      <c r="EL9" s="96">
        <v>0</v>
      </c>
      <c r="EM9" s="96">
        <v>0</v>
      </c>
      <c r="EN9" s="96">
        <v>0</v>
      </c>
      <c r="EO9" s="96">
        <v>0</v>
      </c>
      <c r="EP9" s="96">
        <v>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/>
      <c r="EW9" s="96"/>
      <c r="EX9" s="96"/>
      <c r="EY9" s="96">
        <v>0</v>
      </c>
      <c r="EZ9" s="96"/>
      <c r="FA9" s="96">
        <v>0</v>
      </c>
      <c r="FB9" s="96">
        <v>0</v>
      </c>
      <c r="FC9" s="96">
        <v>0</v>
      </c>
      <c r="FD9" s="96"/>
      <c r="FE9" s="96">
        <v>0</v>
      </c>
      <c r="FF9" s="96"/>
      <c r="FG9" s="96">
        <v>0</v>
      </c>
      <c r="FH9" s="96"/>
      <c r="FI9" s="96"/>
      <c r="FJ9" s="96"/>
      <c r="FK9" s="96"/>
      <c r="FL9" s="96"/>
      <c r="FM9" s="96"/>
      <c r="FN9" s="96">
        <v>0</v>
      </c>
      <c r="FO9" s="96"/>
      <c r="FP9" s="96">
        <v>0</v>
      </c>
      <c r="FQ9" s="96">
        <v>0</v>
      </c>
      <c r="FR9" s="96">
        <v>0</v>
      </c>
      <c r="FS9" s="96">
        <v>0</v>
      </c>
      <c r="FT9" s="96">
        <v>0</v>
      </c>
      <c r="FU9" s="96"/>
      <c r="FV9" s="96">
        <v>0</v>
      </c>
      <c r="FW9" s="96">
        <v>0</v>
      </c>
      <c r="FX9" s="96">
        <v>0</v>
      </c>
      <c r="FY9" s="96">
        <v>0</v>
      </c>
      <c r="FZ9" s="96">
        <v>0</v>
      </c>
      <c r="GA9" s="96">
        <v>0</v>
      </c>
      <c r="GB9" s="96">
        <v>0</v>
      </c>
      <c r="GC9" s="96"/>
      <c r="GD9" s="96"/>
      <c r="GE9" s="96"/>
      <c r="GF9" s="96"/>
      <c r="GG9" s="96"/>
      <c r="GH9" s="96">
        <v>0</v>
      </c>
      <c r="GI9" s="96">
        <v>0</v>
      </c>
      <c r="GJ9" s="96">
        <v>0</v>
      </c>
      <c r="GK9" s="96">
        <v>0</v>
      </c>
      <c r="GL9" s="96">
        <v>0</v>
      </c>
      <c r="GM9" s="96">
        <v>0</v>
      </c>
      <c r="GN9" s="96">
        <v>0</v>
      </c>
      <c r="GO9" s="96">
        <v>0</v>
      </c>
      <c r="GP9" s="96">
        <v>0</v>
      </c>
      <c r="GQ9" s="96">
        <v>0</v>
      </c>
      <c r="GR9" s="96"/>
      <c r="GS9" s="96"/>
      <c r="GT9" s="96">
        <v>0</v>
      </c>
      <c r="GU9" s="96"/>
      <c r="GV9" s="96"/>
      <c r="GW9" s="96"/>
      <c r="GX9" s="96">
        <v>0</v>
      </c>
      <c r="GY9" s="96">
        <v>0</v>
      </c>
      <c r="GZ9" s="96">
        <v>0</v>
      </c>
      <c r="HA9" s="96"/>
      <c r="HB9" s="96"/>
      <c r="HC9" s="96">
        <v>0</v>
      </c>
      <c r="HD9" s="96">
        <v>0</v>
      </c>
      <c r="HE9" s="96">
        <v>0</v>
      </c>
      <c r="HF9" s="96">
        <v>0</v>
      </c>
      <c r="HG9" s="96">
        <v>0</v>
      </c>
      <c r="HH9" s="96">
        <v>0</v>
      </c>
      <c r="HI9" s="96">
        <v>0</v>
      </c>
      <c r="HJ9" s="96">
        <v>0</v>
      </c>
      <c r="HK9" s="96">
        <v>0</v>
      </c>
      <c r="HL9" s="96"/>
      <c r="HM9" s="96"/>
      <c r="HN9" s="96">
        <v>0</v>
      </c>
      <c r="HO9" s="96">
        <v>0</v>
      </c>
      <c r="HP9" s="96">
        <v>0</v>
      </c>
      <c r="HQ9" s="96">
        <v>0</v>
      </c>
      <c r="HR9" s="96">
        <v>0</v>
      </c>
      <c r="HS9" s="96">
        <v>0</v>
      </c>
      <c r="HT9" s="96">
        <v>0</v>
      </c>
      <c r="HU9" s="96">
        <v>0</v>
      </c>
      <c r="HV9" s="96">
        <v>0</v>
      </c>
      <c r="HW9" s="96">
        <v>0</v>
      </c>
      <c r="HX9" s="96">
        <v>0</v>
      </c>
      <c r="HY9" s="96">
        <v>0</v>
      </c>
      <c r="HZ9" s="96">
        <v>0</v>
      </c>
      <c r="IA9" s="96">
        <v>0</v>
      </c>
      <c r="IB9" s="96">
        <v>0</v>
      </c>
      <c r="IC9" s="96">
        <v>0</v>
      </c>
      <c r="ID9" s="96">
        <v>0</v>
      </c>
      <c r="IE9" s="96">
        <v>0</v>
      </c>
      <c r="IF9" s="96">
        <v>0</v>
      </c>
      <c r="IG9" s="96"/>
      <c r="IH9" s="96">
        <v>0</v>
      </c>
      <c r="II9" s="96">
        <v>0</v>
      </c>
      <c r="IJ9" s="96">
        <v>0</v>
      </c>
      <c r="IK9" s="96">
        <v>0</v>
      </c>
      <c r="IL9" s="96">
        <v>0</v>
      </c>
      <c r="IM9" s="96">
        <v>0</v>
      </c>
      <c r="IN9" s="96">
        <v>1</v>
      </c>
      <c r="IO9" s="96">
        <v>2</v>
      </c>
      <c r="IP9" s="96"/>
      <c r="IQ9" s="96">
        <v>0</v>
      </c>
      <c r="IR9" s="96">
        <v>0</v>
      </c>
      <c r="IS9" s="96">
        <v>0</v>
      </c>
      <c r="IT9" s="96"/>
      <c r="IU9" s="96">
        <v>0</v>
      </c>
      <c r="IV9" s="96">
        <v>0</v>
      </c>
      <c r="IW9" s="96">
        <v>0</v>
      </c>
      <c r="IX9" s="96">
        <v>0</v>
      </c>
      <c r="IY9" s="96">
        <v>0</v>
      </c>
      <c r="IZ9" s="96">
        <v>0</v>
      </c>
      <c r="JA9" s="96">
        <v>0</v>
      </c>
      <c r="JB9" s="96"/>
      <c r="JC9" s="96"/>
      <c r="JD9" s="96">
        <v>0</v>
      </c>
      <c r="JE9" s="96">
        <v>0</v>
      </c>
      <c r="JF9" s="96">
        <v>0</v>
      </c>
      <c r="JG9" s="96">
        <v>0</v>
      </c>
      <c r="JH9" s="96">
        <v>0</v>
      </c>
      <c r="JI9" s="96">
        <v>0</v>
      </c>
      <c r="JJ9" s="96">
        <v>0</v>
      </c>
      <c r="JK9" s="96">
        <v>0</v>
      </c>
      <c r="JL9" s="96">
        <v>0</v>
      </c>
      <c r="JM9" s="96">
        <v>0</v>
      </c>
      <c r="JN9" s="96"/>
      <c r="JO9" s="96"/>
      <c r="JP9" s="96"/>
      <c r="JQ9" s="96"/>
      <c r="JR9" s="96"/>
      <c r="JS9" s="96"/>
      <c r="JT9" s="96"/>
      <c r="JU9" s="96"/>
      <c r="JV9" s="96">
        <v>0</v>
      </c>
      <c r="JW9" s="96">
        <v>0</v>
      </c>
      <c r="JX9" s="96">
        <v>0</v>
      </c>
      <c r="JY9" s="96">
        <v>0</v>
      </c>
      <c r="JZ9" s="96"/>
      <c r="KA9" s="96"/>
      <c r="KB9" s="96">
        <v>0</v>
      </c>
      <c r="KC9" s="96">
        <v>0</v>
      </c>
      <c r="KD9" s="96">
        <v>0</v>
      </c>
      <c r="KE9" s="96">
        <v>0</v>
      </c>
      <c r="KF9" s="96">
        <v>0</v>
      </c>
      <c r="KG9" s="96">
        <v>0</v>
      </c>
      <c r="KH9" s="96"/>
      <c r="KI9" s="96"/>
      <c r="KJ9" s="96"/>
      <c r="KK9" s="96"/>
      <c r="KL9" s="96"/>
      <c r="KM9" s="96"/>
      <c r="KN9" s="96">
        <v>0</v>
      </c>
      <c r="KO9" s="96">
        <v>0</v>
      </c>
      <c r="KP9" s="96">
        <v>0</v>
      </c>
      <c r="KQ9" s="96">
        <v>0</v>
      </c>
      <c r="KR9" s="96">
        <v>0</v>
      </c>
      <c r="KS9" s="96">
        <v>0</v>
      </c>
      <c r="KT9" s="96">
        <v>0</v>
      </c>
      <c r="KU9" s="96">
        <v>0</v>
      </c>
      <c r="KV9" s="96">
        <v>0</v>
      </c>
      <c r="KW9" s="96">
        <v>0</v>
      </c>
      <c r="KX9" s="96"/>
      <c r="KY9" s="96"/>
      <c r="KZ9" s="96"/>
      <c r="LA9" s="96"/>
      <c r="LB9" s="96"/>
      <c r="LC9" s="96"/>
      <c r="LD9" s="96">
        <v>0</v>
      </c>
      <c r="LE9" s="96">
        <v>0</v>
      </c>
      <c r="LF9" s="96"/>
      <c r="LG9" s="96"/>
      <c r="LH9" s="96">
        <v>0</v>
      </c>
      <c r="LI9" s="96">
        <v>0</v>
      </c>
      <c r="LJ9" s="96">
        <v>0</v>
      </c>
      <c r="LK9" s="96">
        <v>0</v>
      </c>
      <c r="LL9" s="96">
        <v>0</v>
      </c>
      <c r="LM9" s="96">
        <v>0</v>
      </c>
      <c r="LN9" s="96">
        <v>0</v>
      </c>
      <c r="LO9" s="96">
        <v>0</v>
      </c>
      <c r="LP9" s="96">
        <v>0</v>
      </c>
      <c r="LQ9" s="96">
        <v>0</v>
      </c>
      <c r="LR9" s="96"/>
      <c r="LS9" s="96"/>
      <c r="LT9" s="96">
        <v>0</v>
      </c>
      <c r="LU9" s="96">
        <v>0</v>
      </c>
      <c r="LV9" s="96">
        <v>0</v>
      </c>
      <c r="LW9" s="96">
        <v>0</v>
      </c>
      <c r="LX9" s="96">
        <v>0</v>
      </c>
      <c r="LY9" s="96">
        <v>0</v>
      </c>
      <c r="LZ9" s="96">
        <v>0</v>
      </c>
      <c r="MA9" s="96">
        <v>0</v>
      </c>
      <c r="MB9" s="96">
        <v>0</v>
      </c>
      <c r="MC9" s="96">
        <v>0</v>
      </c>
      <c r="MD9" s="96">
        <v>0</v>
      </c>
      <c r="ME9" s="96">
        <v>0</v>
      </c>
      <c r="MF9" s="96">
        <v>0</v>
      </c>
      <c r="MG9" s="96">
        <v>0</v>
      </c>
      <c r="MH9" s="96">
        <v>0</v>
      </c>
      <c r="MI9" s="96">
        <v>0</v>
      </c>
      <c r="MJ9" s="96">
        <v>0</v>
      </c>
      <c r="MK9" s="96">
        <v>0</v>
      </c>
      <c r="ML9" s="96"/>
      <c r="MM9" s="96"/>
      <c r="MN9" s="96">
        <v>0</v>
      </c>
      <c r="MO9" s="96">
        <v>0</v>
      </c>
      <c r="MP9" s="96">
        <v>0</v>
      </c>
      <c r="MQ9" s="96">
        <v>0</v>
      </c>
      <c r="MR9" s="96">
        <v>0</v>
      </c>
      <c r="MS9" s="96">
        <v>0</v>
      </c>
      <c r="MT9" s="96"/>
      <c r="MU9" s="96"/>
      <c r="MV9" s="96">
        <v>0</v>
      </c>
      <c r="MW9" s="96">
        <v>0</v>
      </c>
      <c r="MX9" s="96">
        <v>0</v>
      </c>
      <c r="MY9" s="96">
        <v>0</v>
      </c>
      <c r="MZ9" s="96">
        <v>0</v>
      </c>
      <c r="NA9" s="96">
        <v>0</v>
      </c>
      <c r="NB9" s="96">
        <v>0</v>
      </c>
      <c r="NC9" s="96">
        <v>0</v>
      </c>
      <c r="ND9" s="96">
        <v>0</v>
      </c>
      <c r="NE9" s="96">
        <v>0</v>
      </c>
      <c r="NF9" s="96">
        <v>0</v>
      </c>
      <c r="NG9" s="96">
        <v>0</v>
      </c>
      <c r="NH9" s="391"/>
      <c r="NI9" s="391"/>
      <c r="NJ9" s="391">
        <v>0</v>
      </c>
      <c r="NK9" s="391">
        <v>0</v>
      </c>
      <c r="NL9" s="391">
        <v>0</v>
      </c>
      <c r="NM9" s="391">
        <v>0</v>
      </c>
      <c r="NN9" s="391"/>
      <c r="NO9" s="391">
        <v>0</v>
      </c>
      <c r="NP9" s="391">
        <v>0</v>
      </c>
      <c r="NQ9" s="391">
        <v>0</v>
      </c>
      <c r="NR9" s="391">
        <v>0</v>
      </c>
      <c r="NS9" s="391">
        <v>0</v>
      </c>
      <c r="NT9" s="391"/>
      <c r="NU9" s="391"/>
      <c r="NV9" s="391"/>
      <c r="NW9" s="391"/>
      <c r="NX9" s="391"/>
      <c r="NY9" s="391"/>
      <c r="NZ9" s="391"/>
      <c r="OA9" s="391"/>
      <c r="OB9" s="391">
        <v>0</v>
      </c>
      <c r="OC9" s="391">
        <v>0</v>
      </c>
      <c r="OD9" s="391">
        <v>0</v>
      </c>
      <c r="OE9" s="391">
        <v>0</v>
      </c>
      <c r="OF9" s="391"/>
      <c r="OG9" s="391"/>
      <c r="OH9" s="391">
        <v>0</v>
      </c>
      <c r="OI9" s="391">
        <v>0</v>
      </c>
      <c r="OJ9" s="391">
        <v>0</v>
      </c>
      <c r="OK9" s="391">
        <v>0</v>
      </c>
      <c r="OL9" s="391">
        <v>0</v>
      </c>
      <c r="OM9" s="391">
        <v>0</v>
      </c>
      <c r="ON9" s="391"/>
      <c r="OO9" s="391"/>
      <c r="OP9" s="391"/>
      <c r="OQ9" s="391"/>
      <c r="OR9" s="391"/>
      <c r="OS9" s="391"/>
      <c r="OT9" s="391">
        <v>0</v>
      </c>
      <c r="OU9" s="391">
        <v>0</v>
      </c>
      <c r="OV9" s="391">
        <v>0</v>
      </c>
      <c r="OW9" s="391">
        <v>0</v>
      </c>
      <c r="OX9" s="391">
        <v>0</v>
      </c>
      <c r="OY9" s="391">
        <v>0</v>
      </c>
      <c r="OZ9" s="391">
        <v>0</v>
      </c>
      <c r="PA9" s="391">
        <v>0</v>
      </c>
      <c r="PB9" s="391">
        <v>0</v>
      </c>
      <c r="PC9" s="391">
        <v>0</v>
      </c>
      <c r="PD9" s="391"/>
      <c r="PE9" s="391"/>
      <c r="PF9" s="391"/>
      <c r="PG9" s="391"/>
      <c r="PH9" s="391"/>
      <c r="PI9" s="391"/>
      <c r="PJ9" s="391">
        <v>0</v>
      </c>
      <c r="PK9" s="391">
        <v>0</v>
      </c>
      <c r="PL9" s="391"/>
      <c r="PM9" s="391"/>
      <c r="PN9" s="391">
        <v>0</v>
      </c>
      <c r="PO9" s="391">
        <v>0</v>
      </c>
      <c r="PP9" s="391">
        <v>0</v>
      </c>
      <c r="PQ9" s="391">
        <v>0</v>
      </c>
      <c r="PR9" s="391">
        <v>0</v>
      </c>
      <c r="PS9" s="391">
        <v>0</v>
      </c>
      <c r="PT9" s="391">
        <v>0</v>
      </c>
      <c r="PU9" s="391">
        <v>0</v>
      </c>
      <c r="PV9" s="391">
        <v>0</v>
      </c>
      <c r="PW9" s="391">
        <v>0</v>
      </c>
      <c r="PX9" s="391"/>
      <c r="PY9" s="391"/>
      <c r="PZ9" s="391">
        <v>0</v>
      </c>
      <c r="QA9" s="391">
        <v>0</v>
      </c>
      <c r="QB9" s="391">
        <v>0</v>
      </c>
      <c r="QC9" s="391">
        <v>0</v>
      </c>
      <c r="QD9" s="391">
        <v>0</v>
      </c>
      <c r="QE9" s="391">
        <v>0</v>
      </c>
      <c r="QF9" s="391">
        <v>0</v>
      </c>
      <c r="QG9" s="391">
        <v>0</v>
      </c>
      <c r="QH9" s="391">
        <v>0</v>
      </c>
      <c r="QI9" s="391">
        <v>0</v>
      </c>
      <c r="QJ9" s="391">
        <v>0</v>
      </c>
      <c r="QK9" s="391">
        <v>0</v>
      </c>
      <c r="QL9" s="391">
        <v>0</v>
      </c>
      <c r="QM9" s="391">
        <v>0</v>
      </c>
      <c r="QN9" s="391">
        <v>0</v>
      </c>
      <c r="QO9" s="391">
        <v>0</v>
      </c>
      <c r="QP9" s="391">
        <v>0</v>
      </c>
      <c r="QQ9" s="391">
        <v>0</v>
      </c>
      <c r="QR9" s="391"/>
      <c r="QS9" s="391"/>
      <c r="QT9" s="391">
        <v>0</v>
      </c>
      <c r="QU9" s="391">
        <v>0</v>
      </c>
      <c r="QV9" s="391">
        <v>0</v>
      </c>
      <c r="QW9" s="391">
        <v>0</v>
      </c>
      <c r="QX9" s="391"/>
      <c r="QY9" s="391">
        <v>0</v>
      </c>
      <c r="QZ9" s="391"/>
      <c r="RA9" s="391"/>
      <c r="RB9" s="391">
        <v>0</v>
      </c>
      <c r="RC9" s="391">
        <v>0</v>
      </c>
      <c r="RD9" s="391">
        <v>0</v>
      </c>
      <c r="RE9" s="391">
        <v>0</v>
      </c>
      <c r="RF9" s="391">
        <v>0</v>
      </c>
      <c r="RG9" s="391">
        <v>0</v>
      </c>
      <c r="RH9" s="391">
        <v>0</v>
      </c>
      <c r="RI9" s="391">
        <v>0</v>
      </c>
      <c r="RJ9" s="391">
        <v>0</v>
      </c>
      <c r="RK9" s="391">
        <v>0</v>
      </c>
      <c r="RL9" s="391">
        <v>0</v>
      </c>
      <c r="RM9" s="391">
        <v>0</v>
      </c>
      <c r="RN9" s="96"/>
      <c r="RO9" s="96"/>
      <c r="RP9" s="96">
        <v>0</v>
      </c>
      <c r="RQ9" s="96">
        <v>0</v>
      </c>
      <c r="RR9" s="96">
        <v>0</v>
      </c>
      <c r="RS9" s="96">
        <v>0</v>
      </c>
      <c r="RT9" s="96"/>
      <c r="RU9" s="96">
        <v>0</v>
      </c>
      <c r="RV9" s="96">
        <v>0</v>
      </c>
      <c r="RW9" s="96">
        <v>0</v>
      </c>
      <c r="RX9" s="96">
        <v>0</v>
      </c>
      <c r="RY9" s="96">
        <v>0</v>
      </c>
      <c r="RZ9" s="96"/>
      <c r="SA9" s="96"/>
      <c r="SB9" s="96"/>
      <c r="SC9" s="96"/>
      <c r="SD9" s="96"/>
      <c r="SE9" s="96"/>
      <c r="SF9" s="96"/>
      <c r="SG9" s="96"/>
      <c r="SH9" s="96">
        <v>0</v>
      </c>
      <c r="SI9" s="96">
        <v>0</v>
      </c>
      <c r="SJ9" s="96">
        <v>0</v>
      </c>
      <c r="SK9" s="96">
        <v>0</v>
      </c>
      <c r="SL9" s="96"/>
      <c r="SM9" s="96"/>
      <c r="SN9" s="96">
        <v>0</v>
      </c>
      <c r="SO9" s="96">
        <v>0</v>
      </c>
      <c r="SP9" s="96">
        <v>0</v>
      </c>
      <c r="SQ9" s="96">
        <v>0</v>
      </c>
      <c r="SR9" s="96">
        <v>0</v>
      </c>
      <c r="SS9" s="96">
        <v>0</v>
      </c>
      <c r="ST9" s="96"/>
      <c r="SU9" s="96"/>
      <c r="SV9" s="96"/>
      <c r="SW9" s="96"/>
      <c r="SX9" s="96"/>
      <c r="SY9" s="96"/>
      <c r="SZ9" s="96">
        <v>0</v>
      </c>
      <c r="TA9" s="96">
        <v>0</v>
      </c>
      <c r="TB9" s="96">
        <v>0</v>
      </c>
      <c r="TC9" s="96">
        <v>0</v>
      </c>
      <c r="TD9" s="96">
        <v>0</v>
      </c>
      <c r="TE9" s="96">
        <v>0</v>
      </c>
      <c r="TF9" s="96">
        <v>0</v>
      </c>
      <c r="TG9" s="96">
        <v>0</v>
      </c>
      <c r="TH9" s="96">
        <v>0</v>
      </c>
      <c r="TI9" s="96">
        <v>0</v>
      </c>
      <c r="TJ9" s="96"/>
      <c r="TK9" s="96"/>
      <c r="TL9" s="96"/>
      <c r="TM9" s="96"/>
      <c r="TN9" s="96"/>
      <c r="TO9" s="96"/>
      <c r="TP9" s="96">
        <v>0</v>
      </c>
      <c r="TQ9" s="96">
        <v>0</v>
      </c>
      <c r="TR9" s="96"/>
      <c r="TS9" s="96"/>
      <c r="TT9" s="96">
        <v>0</v>
      </c>
      <c r="TU9" s="96">
        <v>0</v>
      </c>
      <c r="TV9" s="96">
        <v>0</v>
      </c>
      <c r="TW9" s="96">
        <v>0</v>
      </c>
      <c r="TX9" s="96">
        <v>0</v>
      </c>
      <c r="TY9" s="96">
        <v>0</v>
      </c>
      <c r="TZ9" s="96">
        <v>0</v>
      </c>
      <c r="UA9" s="96">
        <v>0</v>
      </c>
      <c r="UB9" s="96">
        <v>0</v>
      </c>
      <c r="UC9" s="96">
        <v>0</v>
      </c>
      <c r="UD9" s="96"/>
      <c r="UE9" s="96"/>
      <c r="UF9" s="96">
        <v>0</v>
      </c>
      <c r="UG9" s="96">
        <v>0</v>
      </c>
      <c r="UH9" s="96">
        <v>0</v>
      </c>
      <c r="UI9" s="96">
        <v>0</v>
      </c>
      <c r="UJ9" s="96"/>
      <c r="UK9" s="96"/>
      <c r="UL9" s="96">
        <v>0</v>
      </c>
      <c r="UM9" s="96">
        <v>0</v>
      </c>
      <c r="UN9" s="96">
        <v>0</v>
      </c>
      <c r="UO9" s="96">
        <v>0</v>
      </c>
      <c r="UP9" s="96">
        <v>0</v>
      </c>
      <c r="UQ9" s="96">
        <v>0</v>
      </c>
      <c r="UR9" s="96">
        <v>0</v>
      </c>
      <c r="US9" s="96">
        <v>0</v>
      </c>
      <c r="UT9" s="96">
        <v>0</v>
      </c>
      <c r="UU9" s="96">
        <v>0</v>
      </c>
      <c r="UV9" s="96">
        <v>0</v>
      </c>
      <c r="UW9" s="96">
        <v>0</v>
      </c>
      <c r="UX9" s="96"/>
      <c r="UY9" s="96"/>
      <c r="UZ9" s="96">
        <v>0</v>
      </c>
      <c r="VA9" s="96">
        <v>0</v>
      </c>
      <c r="VB9" s="96">
        <v>0</v>
      </c>
      <c r="VC9" s="96">
        <v>0</v>
      </c>
      <c r="VD9" s="96"/>
      <c r="VE9" s="96">
        <v>0</v>
      </c>
      <c r="VF9" s="96"/>
      <c r="VG9" s="96"/>
      <c r="VH9" s="96">
        <v>0</v>
      </c>
      <c r="VI9" s="96">
        <v>0</v>
      </c>
      <c r="VJ9" s="96">
        <v>0</v>
      </c>
      <c r="VK9" s="96">
        <v>0</v>
      </c>
      <c r="VL9" s="96">
        <v>0</v>
      </c>
      <c r="VM9" s="96">
        <v>0</v>
      </c>
      <c r="VN9" s="96">
        <v>0</v>
      </c>
      <c r="VO9" s="96">
        <v>0</v>
      </c>
      <c r="VP9" s="96">
        <v>0</v>
      </c>
      <c r="VQ9" s="96">
        <v>0</v>
      </c>
      <c r="VR9" s="96">
        <v>0</v>
      </c>
      <c r="VS9" s="96">
        <v>0</v>
      </c>
      <c r="VT9" s="96"/>
      <c r="VU9" s="96"/>
      <c r="VV9" s="96">
        <v>0</v>
      </c>
      <c r="VW9" s="96">
        <v>0</v>
      </c>
      <c r="VX9" s="96">
        <v>0</v>
      </c>
      <c r="VY9" s="96">
        <v>0</v>
      </c>
      <c r="VZ9" s="96">
        <v>0</v>
      </c>
      <c r="WA9" s="96">
        <v>0</v>
      </c>
      <c r="WB9" s="96">
        <v>0</v>
      </c>
      <c r="WC9" s="96">
        <v>0</v>
      </c>
      <c r="WD9" s="96">
        <v>0</v>
      </c>
      <c r="WE9" s="96">
        <v>0</v>
      </c>
      <c r="WF9" s="96"/>
      <c r="WG9" s="96"/>
      <c r="WH9" s="96"/>
      <c r="WI9" s="96"/>
      <c r="WJ9" s="96"/>
      <c r="WK9" s="96"/>
      <c r="WL9" s="96"/>
      <c r="WM9" s="96"/>
      <c r="WN9" s="96">
        <v>0</v>
      </c>
      <c r="WO9" s="96">
        <v>0</v>
      </c>
      <c r="WP9" s="96">
        <v>0</v>
      </c>
      <c r="WQ9" s="96">
        <v>0</v>
      </c>
      <c r="WR9" s="96"/>
      <c r="WS9" s="96"/>
      <c r="WT9" s="96">
        <v>0</v>
      </c>
      <c r="WU9" s="96">
        <v>0</v>
      </c>
      <c r="WV9" s="96">
        <v>0</v>
      </c>
      <c r="WW9" s="96">
        <v>0</v>
      </c>
      <c r="WX9" s="96">
        <v>0</v>
      </c>
      <c r="WY9" s="96">
        <v>0</v>
      </c>
      <c r="WZ9" s="96"/>
      <c r="XA9" s="96"/>
      <c r="XB9" s="96"/>
      <c r="XC9" s="96"/>
      <c r="XD9" s="96"/>
      <c r="XE9" s="96"/>
      <c r="XF9" s="96">
        <v>0</v>
      </c>
      <c r="XG9" s="96">
        <v>0</v>
      </c>
      <c r="XH9" s="96">
        <v>0</v>
      </c>
      <c r="XI9" s="96">
        <v>0</v>
      </c>
      <c r="XJ9" s="96">
        <v>0</v>
      </c>
      <c r="XK9" s="96"/>
      <c r="XL9" s="96">
        <v>0</v>
      </c>
      <c r="XM9" s="96">
        <v>0</v>
      </c>
      <c r="XN9" s="96"/>
      <c r="XO9" s="96">
        <v>0</v>
      </c>
      <c r="XP9" s="96"/>
      <c r="XQ9" s="96"/>
      <c r="XR9" s="96"/>
      <c r="XS9" s="96"/>
      <c r="XT9" s="96"/>
      <c r="XU9" s="96"/>
      <c r="XV9" s="96">
        <v>0</v>
      </c>
      <c r="XW9" s="96">
        <v>0</v>
      </c>
      <c r="XX9" s="96"/>
      <c r="XY9" s="96"/>
      <c r="XZ9" s="96">
        <v>0</v>
      </c>
      <c r="YA9" s="96">
        <v>0</v>
      </c>
      <c r="YB9" s="96">
        <v>0</v>
      </c>
      <c r="YC9" s="96">
        <v>0</v>
      </c>
      <c r="YD9" s="96"/>
      <c r="YE9" s="96">
        <v>0</v>
      </c>
      <c r="YF9" s="96">
        <v>0</v>
      </c>
      <c r="YG9" s="96"/>
      <c r="YH9" s="96">
        <v>0</v>
      </c>
      <c r="YI9" s="96">
        <v>0</v>
      </c>
      <c r="YJ9" s="96"/>
      <c r="YK9" s="96"/>
      <c r="YL9" s="96"/>
      <c r="YM9" s="96">
        <v>0</v>
      </c>
      <c r="YN9" s="96">
        <v>0</v>
      </c>
      <c r="YO9" s="96">
        <v>0</v>
      </c>
      <c r="YP9" s="96"/>
      <c r="YQ9" s="96"/>
      <c r="YR9" s="96">
        <v>0</v>
      </c>
      <c r="YS9" s="96">
        <v>0</v>
      </c>
      <c r="YT9" s="96">
        <v>0</v>
      </c>
      <c r="YU9" s="96">
        <v>0</v>
      </c>
      <c r="YV9" s="96">
        <v>0</v>
      </c>
      <c r="YW9" s="96">
        <v>0</v>
      </c>
      <c r="YX9" s="96">
        <v>0</v>
      </c>
      <c r="YY9" s="96">
        <v>0</v>
      </c>
      <c r="YZ9" s="96"/>
      <c r="ZA9" s="96">
        <v>0</v>
      </c>
      <c r="ZB9" s="96">
        <v>0</v>
      </c>
      <c r="ZC9" s="96">
        <v>0</v>
      </c>
      <c r="ZD9" s="96"/>
      <c r="ZE9" s="96"/>
      <c r="ZF9" s="96">
        <v>0</v>
      </c>
      <c r="ZG9" s="96">
        <v>0</v>
      </c>
      <c r="ZH9" s="96">
        <v>0</v>
      </c>
      <c r="ZI9" s="96">
        <v>0</v>
      </c>
      <c r="ZJ9" s="96">
        <v>0</v>
      </c>
      <c r="ZK9" s="96">
        <v>0</v>
      </c>
      <c r="ZL9" s="96"/>
      <c r="ZM9" s="96"/>
      <c r="ZN9" s="96">
        <v>0</v>
      </c>
      <c r="ZO9" s="96">
        <v>0</v>
      </c>
      <c r="ZP9" s="96">
        <v>0</v>
      </c>
      <c r="ZQ9" s="96">
        <v>0</v>
      </c>
      <c r="ZR9" s="96">
        <v>0</v>
      </c>
      <c r="ZS9" s="96">
        <v>0</v>
      </c>
      <c r="ZT9" s="96">
        <v>0</v>
      </c>
      <c r="ZU9" s="96">
        <v>0</v>
      </c>
      <c r="ZV9" s="96">
        <v>0</v>
      </c>
      <c r="ZW9" s="96">
        <v>0</v>
      </c>
      <c r="ZX9" s="96"/>
      <c r="ZY9" s="96">
        <v>0</v>
      </c>
      <c r="ZZ9" s="605"/>
      <c r="AAA9" s="605"/>
      <c r="AAB9" s="605"/>
      <c r="AAC9" s="605"/>
      <c r="AAD9" s="605"/>
      <c r="AAE9" s="605"/>
      <c r="AAF9" s="605"/>
      <c r="AAG9" s="605"/>
      <c r="AAH9" s="605"/>
      <c r="AAI9" s="605"/>
      <c r="AAJ9" s="605"/>
      <c r="AAK9" s="605"/>
      <c r="AAL9" s="605"/>
      <c r="AAM9" s="605"/>
      <c r="AAN9" s="605"/>
      <c r="AAO9" s="605"/>
      <c r="AAP9" s="605"/>
      <c r="AAQ9" s="605"/>
      <c r="AAR9" s="605"/>
      <c r="AAS9" s="605"/>
      <c r="AAT9" s="605"/>
      <c r="AAU9" s="605"/>
      <c r="AAV9" s="605"/>
      <c r="AAW9" s="605"/>
      <c r="AAX9" s="605"/>
      <c r="AAY9" s="605"/>
      <c r="AAZ9" s="605"/>
      <c r="ABA9" s="605"/>
      <c r="ABB9" s="605"/>
      <c r="ABC9" s="605"/>
      <c r="ABD9" s="605"/>
      <c r="ABE9" s="605"/>
      <c r="ABF9" s="605"/>
      <c r="ABG9" s="605"/>
      <c r="ABH9" s="605"/>
      <c r="ABI9" s="605"/>
      <c r="ABJ9" s="605"/>
      <c r="ABK9" s="605"/>
      <c r="ABL9" s="605"/>
      <c r="ABM9" s="605"/>
      <c r="ABN9" s="605"/>
      <c r="ABO9" s="605"/>
      <c r="ABP9" s="605"/>
      <c r="ABQ9" s="605"/>
      <c r="ABR9" s="605"/>
      <c r="ABS9" s="605"/>
      <c r="ABT9" s="605"/>
      <c r="ABU9" s="605"/>
      <c r="ABV9" s="605"/>
      <c r="ABW9" s="605"/>
      <c r="ABX9" s="605"/>
      <c r="ABY9" s="605"/>
      <c r="ABZ9" s="605"/>
      <c r="ACA9" s="605"/>
      <c r="ACB9" s="605"/>
      <c r="ACC9" s="605"/>
      <c r="ACD9" s="605"/>
      <c r="ACE9" s="605"/>
      <c r="ACF9" s="605"/>
      <c r="ACG9" s="605"/>
      <c r="ACH9" s="605"/>
      <c r="ACI9" s="605"/>
      <c r="ACJ9" s="605"/>
      <c r="ACK9" s="605"/>
      <c r="ACL9" s="605"/>
      <c r="ACM9" s="605"/>
      <c r="ACN9" s="605"/>
      <c r="ACO9" s="605"/>
      <c r="ACP9" s="605"/>
      <c r="ACQ9" s="605"/>
      <c r="ACR9" s="605"/>
      <c r="ACS9" s="605"/>
      <c r="ACT9" s="605"/>
      <c r="ACU9" s="605"/>
      <c r="ACV9" s="605"/>
      <c r="ACW9" s="605"/>
      <c r="ACX9" s="605"/>
      <c r="ACY9" s="605"/>
      <c r="ACZ9" s="605"/>
      <c r="ADA9" s="605"/>
      <c r="ADB9" s="605"/>
      <c r="ADC9" s="605"/>
      <c r="ADD9" s="605"/>
      <c r="ADE9" s="605"/>
      <c r="ADF9" s="605"/>
      <c r="ADG9" s="605"/>
      <c r="ADH9" s="605"/>
      <c r="ADI9" s="605"/>
      <c r="ADJ9" s="605"/>
      <c r="ADK9" s="605"/>
      <c r="ADL9" s="605"/>
      <c r="ADM9" s="605"/>
      <c r="ADN9" s="605"/>
      <c r="ADO9" s="605"/>
      <c r="ADP9" s="605"/>
      <c r="ADQ9" s="605"/>
      <c r="ADR9" s="605"/>
      <c r="ADS9" s="605"/>
      <c r="ADT9" s="605"/>
      <c r="ADU9" s="605"/>
      <c r="ADV9" s="605"/>
      <c r="ADW9" s="605"/>
      <c r="ADX9" s="605"/>
      <c r="ADY9" s="605"/>
      <c r="ADZ9" s="605"/>
      <c r="AEA9" s="605"/>
      <c r="AEB9" s="605"/>
      <c r="AEC9" s="605"/>
      <c r="AED9" s="605"/>
      <c r="AEE9" s="605"/>
      <c r="AEF9" s="605"/>
      <c r="AEG9" s="605"/>
      <c r="AEH9" s="605"/>
      <c r="AEI9" s="605"/>
      <c r="AEJ9" s="605"/>
      <c r="AEK9" s="605"/>
      <c r="AEL9" s="605"/>
      <c r="AEM9" s="605"/>
      <c r="AEN9" s="605"/>
      <c r="AEO9" s="605"/>
      <c r="AEP9" s="605"/>
      <c r="AEQ9" s="605"/>
      <c r="AER9" s="605"/>
      <c r="AES9" s="605"/>
      <c r="AET9" s="605"/>
      <c r="AEU9" s="605"/>
      <c r="AEV9" s="605"/>
      <c r="AEW9" s="605"/>
      <c r="AEX9" s="605"/>
      <c r="AEY9" s="605"/>
      <c r="AEZ9" s="605"/>
      <c r="AFA9" s="605"/>
      <c r="AFB9" s="605"/>
      <c r="AFC9" s="605"/>
      <c r="AFD9" s="605"/>
      <c r="AFE9" s="605"/>
      <c r="AFF9" s="605"/>
      <c r="AFG9" s="605"/>
      <c r="AFH9" s="605"/>
      <c r="AFI9" s="605"/>
      <c r="AFJ9" s="605"/>
      <c r="AFK9" s="605"/>
      <c r="AFL9" s="605"/>
      <c r="AFM9" s="605"/>
      <c r="AFN9" s="605"/>
      <c r="AFO9" s="605"/>
      <c r="AFP9" s="605"/>
      <c r="AFQ9" s="605"/>
      <c r="AFR9" s="605"/>
      <c r="AFS9" s="605"/>
      <c r="AFT9" s="605"/>
      <c r="AFU9" s="605"/>
      <c r="AFV9" s="605"/>
      <c r="AFW9" s="605"/>
      <c r="AFX9" s="605"/>
      <c r="AFY9" s="605"/>
      <c r="AFZ9" s="605"/>
      <c r="AGA9" s="605"/>
      <c r="AGB9" s="605"/>
      <c r="AGC9" s="605"/>
      <c r="AGD9" s="605"/>
      <c r="AGE9" s="605"/>
      <c r="AGF9" s="605"/>
      <c r="AGG9" s="605"/>
      <c r="AGH9" s="605"/>
      <c r="AGI9" s="605"/>
      <c r="AGJ9" s="605"/>
      <c r="AGK9" s="605"/>
      <c r="AGL9" s="605"/>
      <c r="AGM9" s="605"/>
      <c r="AGN9" s="605"/>
      <c r="AGO9" s="605"/>
      <c r="AGP9" s="605"/>
      <c r="AGQ9" s="605"/>
      <c r="AGR9" s="605"/>
      <c r="AGS9" s="605"/>
      <c r="AGT9" s="605"/>
      <c r="AGU9" s="605"/>
      <c r="AGV9" s="605"/>
      <c r="AGW9" s="605"/>
      <c r="AGX9" s="605"/>
      <c r="AGY9" s="605"/>
      <c r="AGZ9" s="605"/>
      <c r="AHA9" s="605"/>
      <c r="AHB9" s="605"/>
      <c r="AHC9" s="605"/>
      <c r="AHD9" s="605"/>
      <c r="AHE9" s="605"/>
      <c r="AHF9" s="605"/>
      <c r="AHG9" s="605"/>
      <c r="AHH9" s="605"/>
      <c r="AHI9" s="605"/>
      <c r="AHJ9" s="605"/>
      <c r="AHK9" s="605"/>
      <c r="AHL9" s="605"/>
      <c r="AHM9" s="605"/>
      <c r="AHN9" s="605"/>
      <c r="AHO9" s="605"/>
      <c r="AHP9" s="605"/>
      <c r="AHQ9" s="605"/>
      <c r="AHR9" s="605"/>
      <c r="AHS9" s="605"/>
      <c r="AHT9" s="605"/>
      <c r="AHU9" s="605"/>
      <c r="AHV9" s="605"/>
      <c r="AHW9" s="605"/>
      <c r="AHX9" s="605"/>
      <c r="AHY9" s="605"/>
      <c r="AHZ9" s="605"/>
      <c r="AIA9" s="605"/>
      <c r="AIB9" s="605"/>
      <c r="AIC9" s="605"/>
      <c r="AID9" s="605"/>
      <c r="AIE9" s="605"/>
      <c r="AIF9" s="605"/>
      <c r="AIG9" s="605"/>
      <c r="AIH9" s="605"/>
      <c r="AII9" s="605"/>
      <c r="AIJ9" s="605"/>
      <c r="AIK9" s="605"/>
      <c r="AIL9" s="605"/>
      <c r="AIM9" s="605"/>
      <c r="AIN9" s="605"/>
      <c r="AIO9" s="605"/>
      <c r="AIP9" s="605"/>
      <c r="AIQ9" s="605"/>
      <c r="AIR9" s="605"/>
      <c r="AIS9" s="605"/>
      <c r="AIT9" s="605"/>
      <c r="AIU9" s="605"/>
      <c r="AIV9" s="605"/>
      <c r="AIW9" s="605"/>
      <c r="AIX9" s="605"/>
      <c r="AIY9" s="605"/>
      <c r="AIZ9" s="605"/>
      <c r="AJA9" s="605"/>
      <c r="AJB9" s="605"/>
      <c r="AJC9" s="605"/>
      <c r="AJD9" s="605"/>
      <c r="AJE9" s="605"/>
      <c r="AJF9" s="605"/>
      <c r="AJG9" s="605"/>
      <c r="AJH9" s="605"/>
      <c r="AJI9" s="605"/>
      <c r="AJJ9" s="605"/>
      <c r="AJK9" s="605"/>
      <c r="AJL9" s="605"/>
      <c r="AJM9" s="605"/>
      <c r="AJN9" s="605"/>
      <c r="AJO9" s="605"/>
    </row>
    <row r="10" spans="1:951" x14ac:dyDescent="0.25">
      <c r="A10" s="91" t="s">
        <v>12</v>
      </c>
      <c r="B10" s="96">
        <v>0</v>
      </c>
      <c r="C10" s="96">
        <v>1296824.5109999999</v>
      </c>
      <c r="D10" s="96">
        <v>2361042.1030000001</v>
      </c>
      <c r="E10" s="96">
        <v>886080</v>
      </c>
      <c r="F10" s="96">
        <v>3296368</v>
      </c>
      <c r="G10" s="96">
        <v>151335</v>
      </c>
      <c r="H10" s="96">
        <v>82374</v>
      </c>
      <c r="I10" s="96">
        <v>182914.74100000001</v>
      </c>
      <c r="J10" s="96">
        <v>171773</v>
      </c>
      <c r="K10" s="96"/>
      <c r="L10" s="96">
        <v>1271733.132</v>
      </c>
      <c r="M10" s="96">
        <v>2850044.2990000001</v>
      </c>
      <c r="N10" s="96">
        <v>4075864.304</v>
      </c>
      <c r="O10" s="96">
        <v>2880069</v>
      </c>
      <c r="P10" s="96">
        <v>4454086</v>
      </c>
      <c r="Q10" s="96">
        <v>0</v>
      </c>
      <c r="R10" s="96">
        <v>86893.135999999999</v>
      </c>
      <c r="S10" s="96">
        <v>160244</v>
      </c>
      <c r="T10" s="96">
        <v>330518</v>
      </c>
      <c r="U10" s="96">
        <v>2671615</v>
      </c>
      <c r="V10" s="96">
        <v>0</v>
      </c>
      <c r="W10" s="96">
        <v>0</v>
      </c>
      <c r="X10" s="96">
        <v>318007</v>
      </c>
      <c r="Y10" s="96">
        <v>589620</v>
      </c>
      <c r="Z10" s="96">
        <v>190381</v>
      </c>
      <c r="AA10" s="96">
        <v>0</v>
      </c>
      <c r="AB10" s="96">
        <v>24990.306</v>
      </c>
      <c r="AC10" s="96">
        <v>21564.167000000001</v>
      </c>
      <c r="AD10" s="96">
        <v>153943</v>
      </c>
      <c r="AE10" s="96">
        <v>195680</v>
      </c>
      <c r="AF10" s="96">
        <v>288668.01400000002</v>
      </c>
      <c r="AG10" s="96">
        <v>336043.13099999999</v>
      </c>
      <c r="AH10" s="96">
        <v>92595.437999999995</v>
      </c>
      <c r="AI10" s="96">
        <v>503477</v>
      </c>
      <c r="AJ10" s="96">
        <v>382887</v>
      </c>
      <c r="AK10" s="96">
        <v>0</v>
      </c>
      <c r="AL10" s="96">
        <v>47333.794999999998</v>
      </c>
      <c r="AM10" s="96">
        <v>65146.023000000001</v>
      </c>
      <c r="AN10" s="96">
        <v>41453</v>
      </c>
      <c r="AO10" s="96">
        <v>13206</v>
      </c>
      <c r="AP10" s="96">
        <v>0</v>
      </c>
      <c r="AQ10" s="96">
        <v>55554</v>
      </c>
      <c r="AR10" s="96">
        <v>33112</v>
      </c>
      <c r="AS10" s="96">
        <v>128348</v>
      </c>
      <c r="AT10" s="96">
        <v>92530</v>
      </c>
      <c r="AU10" s="96">
        <v>48790</v>
      </c>
      <c r="AV10" s="96">
        <v>176345</v>
      </c>
      <c r="AW10" s="96">
        <v>26091</v>
      </c>
      <c r="AX10" s="96">
        <v>16677</v>
      </c>
      <c r="AY10" s="96"/>
      <c r="AZ10" s="96">
        <v>69884.873000000007</v>
      </c>
      <c r="BA10" s="96">
        <v>151239.769</v>
      </c>
      <c r="BB10" s="96">
        <v>2490.4290000000001</v>
      </c>
      <c r="BC10" s="96">
        <v>4110</v>
      </c>
      <c r="BD10" s="96">
        <v>5994</v>
      </c>
      <c r="BE10" s="96">
        <v>0</v>
      </c>
      <c r="BF10" s="96">
        <v>311807.73</v>
      </c>
      <c r="BG10" s="96">
        <v>272499.06300000002</v>
      </c>
      <c r="BH10" s="96">
        <v>230573</v>
      </c>
      <c r="BI10" s="96">
        <v>230569</v>
      </c>
      <c r="BJ10" s="96"/>
      <c r="BK10" s="96"/>
      <c r="BL10" s="96"/>
      <c r="BM10" s="96"/>
      <c r="BN10" s="96">
        <v>321064</v>
      </c>
      <c r="BO10" s="96"/>
      <c r="BP10" s="96"/>
      <c r="BQ10" s="96">
        <v>31119</v>
      </c>
      <c r="BR10" s="96">
        <v>71284</v>
      </c>
      <c r="BS10" s="96">
        <v>117012</v>
      </c>
      <c r="BT10" s="96">
        <v>119348.624</v>
      </c>
      <c r="BU10" s="96">
        <v>194277.76000000001</v>
      </c>
      <c r="BV10" s="96">
        <v>114918</v>
      </c>
      <c r="BW10" s="96">
        <v>234743</v>
      </c>
      <c r="BX10" s="96">
        <v>327243</v>
      </c>
      <c r="BY10" s="96">
        <v>0</v>
      </c>
      <c r="BZ10" s="96">
        <v>176837.011</v>
      </c>
      <c r="CA10" s="96">
        <v>224213.91299999997</v>
      </c>
      <c r="CB10" s="96">
        <v>401561</v>
      </c>
      <c r="CC10" s="96">
        <v>1003159</v>
      </c>
      <c r="CD10" s="96">
        <v>25677.224999999999</v>
      </c>
      <c r="CE10" s="96">
        <v>8583.9410000000007</v>
      </c>
      <c r="CF10" s="96">
        <v>11548.865999999998</v>
      </c>
      <c r="CG10" s="96">
        <v>18509</v>
      </c>
      <c r="CH10" s="96">
        <v>21260</v>
      </c>
      <c r="CI10" s="96">
        <v>0</v>
      </c>
      <c r="CJ10" s="96">
        <v>0</v>
      </c>
      <c r="CK10" s="96">
        <v>386.76600000000002</v>
      </c>
      <c r="CL10" s="96">
        <v>311881</v>
      </c>
      <c r="CM10" s="96"/>
      <c r="CN10" s="96">
        <v>0</v>
      </c>
      <c r="CO10" s="96">
        <v>253435.109</v>
      </c>
      <c r="CP10" s="96">
        <v>631815.53</v>
      </c>
      <c r="CQ10" s="96">
        <v>267864</v>
      </c>
      <c r="CR10" s="96">
        <v>117336</v>
      </c>
      <c r="CS10" s="96">
        <v>0</v>
      </c>
      <c r="CT10" s="96">
        <v>98876.447</v>
      </c>
      <c r="CU10" s="96">
        <v>86494</v>
      </c>
      <c r="CV10" s="96">
        <v>346815</v>
      </c>
      <c r="CW10" s="96">
        <v>43433</v>
      </c>
      <c r="CX10" s="96">
        <v>0</v>
      </c>
      <c r="CY10" s="96">
        <v>377.86500000000001</v>
      </c>
      <c r="CZ10" s="96">
        <v>391.63</v>
      </c>
      <c r="DA10" s="96">
        <v>407</v>
      </c>
      <c r="DB10" s="96"/>
      <c r="DC10" s="96">
        <v>19632</v>
      </c>
      <c r="DD10" s="96">
        <v>38957</v>
      </c>
      <c r="DE10" s="96">
        <v>65151</v>
      </c>
      <c r="DF10" s="96">
        <v>96142</v>
      </c>
      <c r="DG10" s="96">
        <v>27543</v>
      </c>
      <c r="DH10" s="96">
        <v>0</v>
      </c>
      <c r="DI10" s="96">
        <v>0</v>
      </c>
      <c r="DJ10" s="96"/>
      <c r="DK10" s="96"/>
      <c r="DL10" s="96">
        <v>985</v>
      </c>
      <c r="DM10" s="102">
        <v>87592</v>
      </c>
      <c r="DN10" s="96">
        <v>633158</v>
      </c>
      <c r="DO10" s="96">
        <v>893292</v>
      </c>
      <c r="DP10" s="96">
        <v>1553257</v>
      </c>
      <c r="DQ10" s="96">
        <v>1287385</v>
      </c>
      <c r="DR10" s="96">
        <v>47976597.539999999</v>
      </c>
      <c r="DS10" s="96">
        <v>44063688.421999998</v>
      </c>
      <c r="DT10" s="96">
        <v>86053682.187000006</v>
      </c>
      <c r="DU10" s="96">
        <v>113383183</v>
      </c>
      <c r="DV10" s="96">
        <v>155811698</v>
      </c>
      <c r="DW10" s="96">
        <v>213234.217</v>
      </c>
      <c r="DX10" s="96">
        <v>227410.37100000001</v>
      </c>
      <c r="DY10" s="96">
        <v>220108.359</v>
      </c>
      <c r="DZ10" s="96">
        <v>275820</v>
      </c>
      <c r="EA10" s="96">
        <v>227548</v>
      </c>
      <c r="EB10" s="96"/>
      <c r="EC10" s="96"/>
      <c r="ED10" s="96"/>
      <c r="EE10" s="96"/>
      <c r="EF10" s="96">
        <v>67874</v>
      </c>
      <c r="EG10" s="96"/>
      <c r="EH10" s="96"/>
      <c r="EI10" s="96"/>
      <c r="EJ10" s="96">
        <v>439077</v>
      </c>
      <c r="EK10" s="96">
        <v>278561</v>
      </c>
      <c r="EL10" s="96"/>
      <c r="EM10" s="96"/>
      <c r="EN10" s="96"/>
      <c r="EO10" s="96">
        <v>405773</v>
      </c>
      <c r="EP10" s="96">
        <v>1119538</v>
      </c>
      <c r="EQ10" s="96"/>
      <c r="ER10" s="96"/>
      <c r="ES10" s="96"/>
      <c r="ET10" s="96"/>
      <c r="EU10" s="96">
        <v>200702</v>
      </c>
      <c r="EV10" s="96">
        <v>278792</v>
      </c>
      <c r="EW10" s="96">
        <v>318412</v>
      </c>
      <c r="EX10" s="96">
        <v>4454086</v>
      </c>
      <c r="EY10" s="96">
        <v>3535927</v>
      </c>
      <c r="EZ10" s="96">
        <v>2671615</v>
      </c>
      <c r="FA10" s="96">
        <v>174564</v>
      </c>
      <c r="FB10" s="96">
        <v>195680</v>
      </c>
      <c r="FC10" s="96">
        <v>213231</v>
      </c>
      <c r="FD10" s="96">
        <v>382887</v>
      </c>
      <c r="FE10" s="96">
        <v>282397</v>
      </c>
      <c r="FF10" s="96">
        <v>13206</v>
      </c>
      <c r="FG10" s="96">
        <v>24836</v>
      </c>
      <c r="FH10" s="96">
        <v>92530</v>
      </c>
      <c r="FI10" s="96"/>
      <c r="FJ10" s="96"/>
      <c r="FK10" s="96"/>
      <c r="FL10" s="96"/>
      <c r="FM10" s="96">
        <v>110905</v>
      </c>
      <c r="FN10" s="96">
        <v>117012</v>
      </c>
      <c r="FO10" s="96">
        <v>105257</v>
      </c>
      <c r="FP10" s="96">
        <v>230569</v>
      </c>
      <c r="FQ10" s="96">
        <v>312440</v>
      </c>
      <c r="FR10" s="96">
        <v>327243</v>
      </c>
      <c r="FS10" s="96"/>
      <c r="FT10" s="96">
        <v>5994</v>
      </c>
      <c r="FU10" s="96">
        <v>6029</v>
      </c>
      <c r="FV10" s="96">
        <v>1003159</v>
      </c>
      <c r="FW10" s="96">
        <v>395030</v>
      </c>
      <c r="FX10" s="96">
        <v>67874</v>
      </c>
      <c r="FY10" s="96">
        <v>8685</v>
      </c>
      <c r="FZ10" s="96">
        <v>190381</v>
      </c>
      <c r="GA10" s="96">
        <v>769272</v>
      </c>
      <c r="GB10" s="96">
        <v>321064</v>
      </c>
      <c r="GC10" s="96">
        <v>204283</v>
      </c>
      <c r="GD10" s="96">
        <v>21260</v>
      </c>
      <c r="GE10" s="96">
        <v>23544</v>
      </c>
      <c r="GF10" s="96"/>
      <c r="GG10" s="96"/>
      <c r="GH10" s="96">
        <v>117336</v>
      </c>
      <c r="GI10" s="96">
        <v>334254</v>
      </c>
      <c r="GJ10" s="96">
        <v>247829</v>
      </c>
      <c r="GK10" s="96">
        <v>228743</v>
      </c>
      <c r="GL10" s="96">
        <v>3184768</v>
      </c>
      <c r="GM10" s="96">
        <v>3400225</v>
      </c>
      <c r="GN10" s="96">
        <v>2677144</v>
      </c>
      <c r="GO10" s="96">
        <v>2454434</v>
      </c>
      <c r="GP10" s="96"/>
      <c r="GQ10" s="96"/>
      <c r="GR10" s="96"/>
      <c r="GS10" s="96"/>
      <c r="GT10" s="96">
        <v>756717</v>
      </c>
      <c r="GU10" s="96">
        <v>565057</v>
      </c>
      <c r="GV10" s="96"/>
      <c r="GW10" s="96">
        <v>0</v>
      </c>
      <c r="GX10" s="96">
        <v>238245</v>
      </c>
      <c r="GY10" s="96">
        <v>210453</v>
      </c>
      <c r="GZ10" s="96">
        <v>39035589</v>
      </c>
      <c r="HA10" s="96">
        <v>46713926</v>
      </c>
      <c r="HB10" s="96">
        <v>946666</v>
      </c>
      <c r="HC10" s="96">
        <v>417293</v>
      </c>
      <c r="HD10" s="96">
        <v>227850</v>
      </c>
      <c r="HE10" s="96">
        <v>217859</v>
      </c>
      <c r="HF10" s="96">
        <v>3105766</v>
      </c>
      <c r="HG10" s="96">
        <v>3067547</v>
      </c>
      <c r="HH10" s="96">
        <v>37939716</v>
      </c>
      <c r="HI10" s="96">
        <v>40817537</v>
      </c>
      <c r="HJ10" s="96">
        <v>2889294</v>
      </c>
      <c r="HK10" s="96">
        <v>3597264</v>
      </c>
      <c r="HL10" s="96">
        <v>4410945</v>
      </c>
      <c r="HM10" s="96">
        <v>6573333</v>
      </c>
      <c r="HN10" s="96">
        <v>36949</v>
      </c>
      <c r="HO10" s="96">
        <v>38599</v>
      </c>
      <c r="HP10" s="96">
        <v>158121</v>
      </c>
      <c r="HQ10" s="96">
        <v>372659</v>
      </c>
      <c r="HR10" s="96">
        <v>839012</v>
      </c>
      <c r="HS10" s="96">
        <v>2384961</v>
      </c>
      <c r="HT10" s="96">
        <v>278561</v>
      </c>
      <c r="HU10" s="96"/>
      <c r="HV10" s="96">
        <v>1119538</v>
      </c>
      <c r="HW10" s="96">
        <v>981156</v>
      </c>
      <c r="HX10" s="96">
        <v>2159588</v>
      </c>
      <c r="HY10" s="96">
        <v>3363044</v>
      </c>
      <c r="HZ10" s="96">
        <v>4656454</v>
      </c>
      <c r="IA10" s="96">
        <v>6209033</v>
      </c>
      <c r="IB10" s="96">
        <v>284560</v>
      </c>
      <c r="IC10" s="96">
        <v>559270</v>
      </c>
      <c r="ID10" s="96">
        <v>7827488</v>
      </c>
      <c r="IE10" s="96">
        <v>8005734</v>
      </c>
      <c r="IF10" s="96">
        <v>146605</v>
      </c>
      <c r="IG10" s="96">
        <v>171961</v>
      </c>
      <c r="IH10" s="96">
        <v>55227</v>
      </c>
      <c r="II10" s="96">
        <v>97141</v>
      </c>
      <c r="IJ10" s="96">
        <v>2056157</v>
      </c>
      <c r="IK10" s="96">
        <v>3489283</v>
      </c>
      <c r="IL10" s="96">
        <v>200702</v>
      </c>
      <c r="IM10" s="96">
        <v>1486708</v>
      </c>
      <c r="IN10" s="96"/>
      <c r="IO10" s="96"/>
      <c r="IP10" s="96"/>
      <c r="IQ10" s="96">
        <v>150</v>
      </c>
      <c r="IR10" s="96">
        <v>27543</v>
      </c>
      <c r="IS10" s="96">
        <v>61367</v>
      </c>
      <c r="IT10" s="96">
        <v>985</v>
      </c>
      <c r="IU10" s="96">
        <v>125651</v>
      </c>
      <c r="IV10" s="96">
        <v>1287385</v>
      </c>
      <c r="IW10" s="96">
        <v>595058</v>
      </c>
      <c r="IX10" s="96">
        <v>155811698</v>
      </c>
      <c r="IY10" s="96">
        <v>141878382</v>
      </c>
      <c r="IZ10" s="96">
        <v>227548</v>
      </c>
      <c r="JA10" s="96">
        <v>497418</v>
      </c>
      <c r="JB10" s="96">
        <v>318412</v>
      </c>
      <c r="JC10" s="96">
        <v>402751</v>
      </c>
      <c r="JD10" s="96">
        <v>3535927</v>
      </c>
      <c r="JE10" s="96">
        <v>3740377</v>
      </c>
      <c r="JF10" s="96">
        <v>174564</v>
      </c>
      <c r="JG10" s="96">
        <v>102488</v>
      </c>
      <c r="JH10" s="96">
        <v>213231</v>
      </c>
      <c r="JI10" s="96">
        <v>1239712</v>
      </c>
      <c r="JJ10" s="96">
        <v>282397</v>
      </c>
      <c r="JK10" s="96">
        <v>214950</v>
      </c>
      <c r="JL10" s="96">
        <v>24836</v>
      </c>
      <c r="JM10" s="96">
        <v>23056</v>
      </c>
      <c r="JN10" s="96">
        <v>115440</v>
      </c>
      <c r="JO10" s="96"/>
      <c r="JP10" s="96"/>
      <c r="JQ10" s="96"/>
      <c r="JR10" s="96">
        <v>110905</v>
      </c>
      <c r="JS10" s="96">
        <v>92889</v>
      </c>
      <c r="JT10" s="96">
        <v>105257</v>
      </c>
      <c r="JU10" s="96">
        <v>86358</v>
      </c>
      <c r="JV10" s="96">
        <v>312440</v>
      </c>
      <c r="JW10" s="96">
        <v>437705</v>
      </c>
      <c r="JX10" s="96"/>
      <c r="JY10" s="96"/>
      <c r="JZ10" s="96">
        <v>6029</v>
      </c>
      <c r="KA10" s="96">
        <v>92683</v>
      </c>
      <c r="KB10" s="96">
        <v>395030</v>
      </c>
      <c r="KC10" s="96">
        <v>1520253</v>
      </c>
      <c r="KD10" s="96">
        <v>8685</v>
      </c>
      <c r="KE10" s="96">
        <v>119302</v>
      </c>
      <c r="KF10" s="96">
        <v>769272</v>
      </c>
      <c r="KG10" s="96">
        <v>405445</v>
      </c>
      <c r="KH10" s="96">
        <v>204283</v>
      </c>
      <c r="KI10" s="96"/>
      <c r="KJ10" s="96">
        <v>23544</v>
      </c>
      <c r="KK10" s="96">
        <v>24031</v>
      </c>
      <c r="KL10" s="96">
        <v>422961</v>
      </c>
      <c r="KM10" s="96">
        <v>422961</v>
      </c>
      <c r="KN10" s="96">
        <v>334254</v>
      </c>
      <c r="KO10" s="96">
        <v>67286</v>
      </c>
      <c r="KP10" s="96">
        <v>228743</v>
      </c>
      <c r="KQ10" s="96"/>
      <c r="KR10" s="96">
        <v>3400225</v>
      </c>
      <c r="KS10" s="96">
        <v>3154364</v>
      </c>
      <c r="KT10" s="96">
        <v>2454434</v>
      </c>
      <c r="KU10" s="96">
        <v>1154874</v>
      </c>
      <c r="KV10" s="96"/>
      <c r="KW10" s="96"/>
      <c r="KX10" s="96">
        <v>458652</v>
      </c>
      <c r="KY10" s="96"/>
      <c r="KZ10" s="96">
        <v>565057</v>
      </c>
      <c r="LA10" s="96">
        <v>416126</v>
      </c>
      <c r="LB10" s="96">
        <v>0</v>
      </c>
      <c r="LC10" s="96">
        <v>5196</v>
      </c>
      <c r="LD10" s="96">
        <v>210453</v>
      </c>
      <c r="LE10" s="96">
        <v>452571</v>
      </c>
      <c r="LF10" s="96">
        <v>46713926</v>
      </c>
      <c r="LG10" s="96">
        <v>50021415</v>
      </c>
      <c r="LH10" s="96">
        <v>417293</v>
      </c>
      <c r="LI10" s="96">
        <v>425196</v>
      </c>
      <c r="LJ10" s="96">
        <v>217859</v>
      </c>
      <c r="LK10" s="96">
        <v>355821</v>
      </c>
      <c r="LL10" s="96">
        <v>3067547</v>
      </c>
      <c r="LM10" s="96">
        <v>229077</v>
      </c>
      <c r="LN10" s="96">
        <v>40817537</v>
      </c>
      <c r="LO10" s="96">
        <v>36918694</v>
      </c>
      <c r="LP10" s="96">
        <v>3597264</v>
      </c>
      <c r="LQ10" s="96">
        <v>3525505</v>
      </c>
      <c r="LR10" s="96">
        <v>6573333</v>
      </c>
      <c r="LS10" s="96">
        <v>15671000</v>
      </c>
      <c r="LT10" s="96">
        <v>38599</v>
      </c>
      <c r="LU10" s="96">
        <v>23787</v>
      </c>
      <c r="LV10" s="96">
        <v>372659</v>
      </c>
      <c r="LW10" s="96">
        <v>279126</v>
      </c>
      <c r="LX10" s="96">
        <v>2384961</v>
      </c>
      <c r="LY10" s="96">
        <v>3239269</v>
      </c>
      <c r="LZ10" s="96"/>
      <c r="MA10" s="96"/>
      <c r="MB10" s="96">
        <v>981156</v>
      </c>
      <c r="MC10" s="96">
        <v>83022</v>
      </c>
      <c r="MD10" s="96">
        <v>3363044</v>
      </c>
      <c r="ME10" s="96">
        <v>1307672</v>
      </c>
      <c r="MF10" s="96">
        <v>6209033</v>
      </c>
      <c r="MG10" s="96">
        <v>5716931</v>
      </c>
      <c r="MH10" s="96">
        <v>559270</v>
      </c>
      <c r="MI10" s="96">
        <v>829395</v>
      </c>
      <c r="MJ10" s="96">
        <v>8005734</v>
      </c>
      <c r="MK10" s="96">
        <v>3550587</v>
      </c>
      <c r="ML10" s="96">
        <v>171961</v>
      </c>
      <c r="MM10" s="96">
        <v>214489</v>
      </c>
      <c r="MN10" s="96">
        <v>97141</v>
      </c>
      <c r="MO10" s="96">
        <v>87365</v>
      </c>
      <c r="MP10" s="96">
        <v>3489283</v>
      </c>
      <c r="MQ10" s="96">
        <v>3462017</v>
      </c>
      <c r="MR10" s="96">
        <v>1486708</v>
      </c>
      <c r="MS10" s="96">
        <v>1805264</v>
      </c>
      <c r="MT10" s="96">
        <v>60310</v>
      </c>
      <c r="MU10" s="96">
        <v>60310</v>
      </c>
      <c r="MV10" s="96">
        <v>150</v>
      </c>
      <c r="MW10" s="96">
        <v>255</v>
      </c>
      <c r="MX10" s="96">
        <v>61367</v>
      </c>
      <c r="MY10" s="96">
        <v>20890</v>
      </c>
      <c r="MZ10" s="96">
        <v>125651</v>
      </c>
      <c r="NA10" s="96">
        <v>413434</v>
      </c>
      <c r="NB10" s="96">
        <v>595058</v>
      </c>
      <c r="NC10" s="96">
        <v>686797</v>
      </c>
      <c r="ND10" s="96">
        <v>141878382</v>
      </c>
      <c r="NE10" s="96">
        <v>133790076</v>
      </c>
      <c r="NF10" s="96">
        <v>497418</v>
      </c>
      <c r="NG10" s="96">
        <v>373355</v>
      </c>
      <c r="NH10" s="391">
        <v>402751</v>
      </c>
      <c r="NI10" s="391">
        <v>311131</v>
      </c>
      <c r="NJ10" s="391">
        <v>6335707</v>
      </c>
      <c r="NK10" s="391">
        <v>9573388</v>
      </c>
      <c r="NL10" s="391">
        <v>102488</v>
      </c>
      <c r="NM10" s="391">
        <v>409295</v>
      </c>
      <c r="NN10" s="391">
        <v>1242609</v>
      </c>
      <c r="NO10" s="391">
        <v>663607</v>
      </c>
      <c r="NP10" s="391">
        <v>214950</v>
      </c>
      <c r="NQ10" s="391">
        <v>286057</v>
      </c>
      <c r="NR10" s="391">
        <v>23056</v>
      </c>
      <c r="NS10" s="391">
        <f>15095+19368</f>
        <v>34463</v>
      </c>
      <c r="NT10" s="391">
        <v>115440</v>
      </c>
      <c r="NU10" s="391"/>
      <c r="NV10" s="391"/>
      <c r="NW10" s="391"/>
      <c r="NX10" s="391">
        <f>92889+19535</f>
        <v>112424</v>
      </c>
      <c r="NY10" s="391">
        <f>106948+16644</f>
        <v>123592</v>
      </c>
      <c r="NZ10" s="391">
        <v>89004</v>
      </c>
      <c r="OA10" s="391">
        <v>160831</v>
      </c>
      <c r="OB10" s="391">
        <v>437705</v>
      </c>
      <c r="OC10" s="391">
        <v>332007</v>
      </c>
      <c r="OD10" s="391"/>
      <c r="OE10" s="391"/>
      <c r="OF10" s="391">
        <f>92683+24169</f>
        <v>116852</v>
      </c>
      <c r="OG10" s="391">
        <f>105785+21164</f>
        <v>126949</v>
      </c>
      <c r="OH10" s="391">
        <v>1520253</v>
      </c>
      <c r="OI10" s="391">
        <v>1395477</v>
      </c>
      <c r="OJ10" s="391">
        <v>119302</v>
      </c>
      <c r="OK10" s="391">
        <v>77690</v>
      </c>
      <c r="OL10" s="391">
        <v>405445</v>
      </c>
      <c r="OM10" s="391">
        <v>115640</v>
      </c>
      <c r="ON10" s="391"/>
      <c r="OO10" s="391">
        <f>51381+28367</f>
        <v>79748</v>
      </c>
      <c r="OP10" s="391">
        <v>24031</v>
      </c>
      <c r="OQ10" s="391">
        <v>5368</v>
      </c>
      <c r="OR10" s="391">
        <v>422961</v>
      </c>
      <c r="OS10" s="391"/>
      <c r="OT10" s="391">
        <v>67286</v>
      </c>
      <c r="OU10" s="391">
        <v>210914</v>
      </c>
      <c r="OV10" s="391"/>
      <c r="OW10" s="391">
        <f>146716+9820</f>
        <v>156536</v>
      </c>
      <c r="OX10" s="391">
        <v>3154364</v>
      </c>
      <c r="OY10" s="391">
        <v>6958515</v>
      </c>
      <c r="OZ10" s="391">
        <v>1154874</v>
      </c>
      <c r="PA10" s="391">
        <f>724167+8412</f>
        <v>732579</v>
      </c>
      <c r="PB10" s="391">
        <f>36629+2055</f>
        <v>38684</v>
      </c>
      <c r="PC10" s="391">
        <v>34100</v>
      </c>
      <c r="PD10" s="391"/>
      <c r="PE10" s="391"/>
      <c r="PF10" s="391">
        <v>416126</v>
      </c>
      <c r="PG10" s="391">
        <v>583562</v>
      </c>
      <c r="PH10" s="391">
        <v>5196</v>
      </c>
      <c r="PI10" s="391"/>
      <c r="PJ10" s="391">
        <v>452571</v>
      </c>
      <c r="PK10" s="391">
        <v>343289</v>
      </c>
      <c r="PL10" s="391">
        <v>33486097</v>
      </c>
      <c r="PM10" s="391">
        <v>25719491</v>
      </c>
      <c r="PN10" s="391">
        <v>736857</v>
      </c>
      <c r="PO10" s="391">
        <v>826206</v>
      </c>
      <c r="PP10" s="391">
        <f>355821+3011</f>
        <v>358832</v>
      </c>
      <c r="PQ10" s="391">
        <f>241448+84629</f>
        <v>326077</v>
      </c>
      <c r="PR10" s="391">
        <v>229077</v>
      </c>
      <c r="PS10" s="391">
        <v>701463</v>
      </c>
      <c r="PT10" s="391">
        <v>35975592</v>
      </c>
      <c r="PU10" s="391">
        <v>41746502</v>
      </c>
      <c r="PV10" s="391">
        <v>3597264</v>
      </c>
      <c r="PW10" s="391">
        <v>3525505</v>
      </c>
      <c r="PX10" s="391">
        <v>9642000</v>
      </c>
      <c r="PY10" s="391">
        <v>14503000</v>
      </c>
      <c r="PZ10" s="391">
        <v>23787</v>
      </c>
      <c r="QA10" s="391">
        <v>72783</v>
      </c>
      <c r="QB10" s="391">
        <v>279126</v>
      </c>
      <c r="QC10" s="391">
        <v>251061</v>
      </c>
      <c r="QD10" s="391">
        <v>3239269</v>
      </c>
      <c r="QE10" s="392">
        <v>3379648</v>
      </c>
      <c r="QF10" s="391"/>
      <c r="QG10" s="391"/>
      <c r="QH10" s="391">
        <v>83022</v>
      </c>
      <c r="QI10" s="391">
        <f>1470610+22073</f>
        <v>1492683</v>
      </c>
      <c r="QJ10" s="391">
        <v>1307672</v>
      </c>
      <c r="QK10" s="391">
        <v>1140956</v>
      </c>
      <c r="QL10" s="391">
        <v>5716931</v>
      </c>
      <c r="QM10" s="391">
        <v>5322840</v>
      </c>
      <c r="QN10" s="391">
        <v>559270</v>
      </c>
      <c r="QO10" s="391">
        <v>829395</v>
      </c>
      <c r="QP10" s="391">
        <v>3550587</v>
      </c>
      <c r="QQ10" s="391">
        <v>2744163</v>
      </c>
      <c r="QR10" s="391">
        <v>214489</v>
      </c>
      <c r="QS10" s="391">
        <v>409806</v>
      </c>
      <c r="QT10" s="391">
        <v>87365</v>
      </c>
      <c r="QU10" s="391">
        <v>31352</v>
      </c>
      <c r="QV10" s="391">
        <v>3489283</v>
      </c>
      <c r="QW10" s="391">
        <v>3462017</v>
      </c>
      <c r="QX10" s="391">
        <v>1743732</v>
      </c>
      <c r="QY10" s="391">
        <v>1046944</v>
      </c>
      <c r="QZ10" s="391">
        <v>60310</v>
      </c>
      <c r="RA10" s="391">
        <v>60310</v>
      </c>
      <c r="RB10" s="391">
        <v>255</v>
      </c>
      <c r="RC10" s="391">
        <v>2118</v>
      </c>
      <c r="RD10" s="391">
        <v>61367</v>
      </c>
      <c r="RE10" s="391">
        <v>20890</v>
      </c>
      <c r="RF10" s="391">
        <v>413434</v>
      </c>
      <c r="RG10" s="391"/>
      <c r="RH10" s="391">
        <v>595058</v>
      </c>
      <c r="RI10" s="391">
        <v>686797</v>
      </c>
      <c r="RJ10" s="760">
        <v>128523521</v>
      </c>
      <c r="RK10" s="391">
        <v>158050558</v>
      </c>
      <c r="RL10" s="391">
        <v>373355</v>
      </c>
      <c r="RM10" s="391">
        <v>475118</v>
      </c>
      <c r="RN10" s="96">
        <v>360335</v>
      </c>
      <c r="RO10" s="96">
        <v>404904</v>
      </c>
      <c r="RP10" s="96">
        <v>6063319</v>
      </c>
      <c r="RQ10" s="96">
        <v>7716287</v>
      </c>
      <c r="RR10" s="96">
        <v>409295</v>
      </c>
      <c r="RS10" s="96">
        <v>152286</v>
      </c>
      <c r="RT10" s="96">
        <v>649470</v>
      </c>
      <c r="RU10" s="96">
        <v>308506</v>
      </c>
      <c r="RV10" s="96">
        <v>286057</v>
      </c>
      <c r="RW10" s="96">
        <v>317915</v>
      </c>
      <c r="RX10" s="96">
        <v>28295</v>
      </c>
      <c r="RY10" s="96">
        <v>30305</v>
      </c>
      <c r="RZ10" s="96"/>
      <c r="SA10" s="96"/>
      <c r="SB10" s="96"/>
      <c r="SC10" s="96"/>
      <c r="SD10" s="96">
        <v>123592</v>
      </c>
      <c r="SE10" s="96">
        <v>82320</v>
      </c>
      <c r="SF10" s="96">
        <v>280836</v>
      </c>
      <c r="SG10" s="96">
        <v>180180</v>
      </c>
      <c r="SH10" s="96">
        <v>332007</v>
      </c>
      <c r="SI10" s="96">
        <v>346561</v>
      </c>
      <c r="SJ10" s="96"/>
      <c r="SK10" s="96"/>
      <c r="SL10" s="96">
        <v>126949</v>
      </c>
      <c r="SM10" s="96">
        <v>150086</v>
      </c>
      <c r="SN10" s="96">
        <v>1395477</v>
      </c>
      <c r="SO10" s="96">
        <v>668619</v>
      </c>
      <c r="SP10" s="96">
        <v>77690</v>
      </c>
      <c r="SQ10" s="96">
        <v>172551</v>
      </c>
      <c r="SR10" s="96">
        <v>141035</v>
      </c>
      <c r="SS10" s="96">
        <v>417715</v>
      </c>
      <c r="ST10" s="96">
        <v>79748</v>
      </c>
      <c r="SU10" s="96"/>
      <c r="SV10" s="96">
        <v>7757</v>
      </c>
      <c r="SW10" s="96">
        <v>26950</v>
      </c>
      <c r="SX10" s="96"/>
      <c r="SY10" s="96">
        <v>14093</v>
      </c>
      <c r="SZ10" s="96">
        <v>67156</v>
      </c>
      <c r="TA10" s="96">
        <v>63879</v>
      </c>
      <c r="TB10" s="96">
        <v>156536</v>
      </c>
      <c r="TC10" s="96"/>
      <c r="TD10" s="96">
        <v>6407286</v>
      </c>
      <c r="TE10" s="96">
        <v>7800264</v>
      </c>
      <c r="TF10" s="96">
        <v>720393</v>
      </c>
      <c r="TG10" s="96">
        <v>684050</v>
      </c>
      <c r="TH10" s="96">
        <v>36629</v>
      </c>
      <c r="TI10" s="96">
        <v>83729</v>
      </c>
      <c r="TJ10" s="96"/>
      <c r="TK10" s="96"/>
      <c r="TL10" s="96">
        <v>370597</v>
      </c>
      <c r="TM10" s="96">
        <v>1019606</v>
      </c>
      <c r="TN10" s="96"/>
      <c r="TO10" s="96">
        <v>9781</v>
      </c>
      <c r="TP10" s="96">
        <v>904616</v>
      </c>
      <c r="TQ10" s="96">
        <v>809648</v>
      </c>
      <c r="TR10" s="96">
        <v>25719491</v>
      </c>
      <c r="TS10" s="96">
        <v>28068146</v>
      </c>
      <c r="TT10" s="96">
        <v>889234</v>
      </c>
      <c r="TU10" s="96">
        <v>784317</v>
      </c>
      <c r="TV10" s="96">
        <v>244698000</v>
      </c>
      <c r="TW10" s="96">
        <v>461815000</v>
      </c>
      <c r="TX10" s="96">
        <v>701463</v>
      </c>
      <c r="TY10" s="96">
        <v>991524</v>
      </c>
      <c r="TZ10" s="96">
        <v>41746502</v>
      </c>
      <c r="UA10" s="96">
        <v>50236684</v>
      </c>
      <c r="UB10" s="96">
        <v>3525505</v>
      </c>
      <c r="UC10" s="96"/>
      <c r="UD10" s="96">
        <v>14503000</v>
      </c>
      <c r="UE10" s="96">
        <v>14236000</v>
      </c>
      <c r="UF10" s="96">
        <v>72783</v>
      </c>
      <c r="UG10" s="96">
        <v>657601</v>
      </c>
      <c r="UH10" s="96">
        <v>249385</v>
      </c>
      <c r="UI10" s="96">
        <v>789280</v>
      </c>
      <c r="UJ10" s="96">
        <v>3373893</v>
      </c>
      <c r="UK10" s="96">
        <v>2416297</v>
      </c>
      <c r="UL10" s="96"/>
      <c r="UM10" s="96"/>
      <c r="UN10" s="96">
        <v>1492683</v>
      </c>
      <c r="UO10" s="96">
        <v>1847034</v>
      </c>
      <c r="UP10" s="96">
        <v>1063840</v>
      </c>
      <c r="UQ10" s="96">
        <v>726082</v>
      </c>
      <c r="UR10" s="96">
        <v>5322840</v>
      </c>
      <c r="US10" s="96">
        <v>16306797</v>
      </c>
      <c r="UT10" s="96">
        <v>829395</v>
      </c>
      <c r="UU10" s="96"/>
      <c r="UV10" s="96">
        <v>2744163</v>
      </c>
      <c r="UW10" s="96">
        <v>14273413</v>
      </c>
      <c r="UX10" s="96">
        <v>1607373</v>
      </c>
      <c r="UY10" s="96">
        <v>1296981</v>
      </c>
      <c r="UZ10" s="96">
        <v>31352</v>
      </c>
      <c r="VA10" s="96">
        <v>42276</v>
      </c>
      <c r="VB10" s="96">
        <v>4255801</v>
      </c>
      <c r="VC10" s="96">
        <v>1814186</v>
      </c>
      <c r="VD10" s="96">
        <v>1058615</v>
      </c>
      <c r="VE10" s="96">
        <v>861398</v>
      </c>
      <c r="VF10" s="96">
        <v>60310</v>
      </c>
      <c r="VG10" s="96"/>
      <c r="VH10" s="96">
        <v>2118</v>
      </c>
      <c r="VI10" s="96">
        <v>612</v>
      </c>
      <c r="VJ10" s="96">
        <v>6241</v>
      </c>
      <c r="VK10" s="96">
        <v>11679</v>
      </c>
      <c r="VL10" s="96"/>
      <c r="VM10" s="96">
        <v>101071</v>
      </c>
      <c r="VN10" s="96">
        <v>686797</v>
      </c>
      <c r="VO10" s="96"/>
      <c r="VP10" s="96">
        <v>158050558</v>
      </c>
      <c r="VQ10" s="96">
        <v>126338683</v>
      </c>
      <c r="VR10" s="96">
        <v>475118</v>
      </c>
      <c r="VS10" s="96">
        <v>665967</v>
      </c>
      <c r="VT10" s="96">
        <v>404904</v>
      </c>
      <c r="VU10" s="96">
        <v>487098</v>
      </c>
      <c r="VV10" s="96">
        <v>8213622</v>
      </c>
      <c r="VW10" s="96">
        <v>8883699</v>
      </c>
      <c r="VX10" s="96">
        <v>152286</v>
      </c>
      <c r="VY10" s="96">
        <v>266518</v>
      </c>
      <c r="VZ10" s="96">
        <v>308506</v>
      </c>
      <c r="WA10" s="96">
        <v>163412</v>
      </c>
      <c r="WB10" s="96">
        <v>317915</v>
      </c>
      <c r="WC10" s="96">
        <v>230</v>
      </c>
      <c r="WD10" s="96">
        <v>30305</v>
      </c>
      <c r="WE10" s="96">
        <v>87639</v>
      </c>
      <c r="WF10" s="96"/>
      <c r="WG10" s="96"/>
      <c r="WH10" s="96"/>
      <c r="WI10" s="96"/>
      <c r="WJ10" s="96">
        <v>82320</v>
      </c>
      <c r="WK10" s="96">
        <v>110775</v>
      </c>
      <c r="WL10" s="96">
        <v>179896</v>
      </c>
      <c r="WM10" s="96">
        <v>98970</v>
      </c>
      <c r="WN10" s="96">
        <v>346561</v>
      </c>
      <c r="WO10" s="96">
        <v>175983</v>
      </c>
      <c r="WP10" s="96"/>
      <c r="WQ10" s="96"/>
      <c r="WR10" s="96">
        <v>177708</v>
      </c>
      <c r="WS10" s="96">
        <v>208401</v>
      </c>
      <c r="WT10" s="96">
        <v>668619</v>
      </c>
      <c r="WU10" s="96">
        <v>227886</v>
      </c>
      <c r="WV10" s="96">
        <v>172551</v>
      </c>
      <c r="WW10" s="96">
        <v>72607</v>
      </c>
      <c r="WX10" s="96">
        <v>417715</v>
      </c>
      <c r="WY10" s="96">
        <v>2908085</v>
      </c>
      <c r="WZ10" s="96"/>
      <c r="XA10" s="96">
        <v>124499</v>
      </c>
      <c r="XB10" s="96">
        <v>26950</v>
      </c>
      <c r="XC10" s="96">
        <v>55847</v>
      </c>
      <c r="XD10" s="96">
        <v>339032</v>
      </c>
      <c r="XE10" s="96">
        <v>117421</v>
      </c>
      <c r="XF10" s="96">
        <v>63879</v>
      </c>
      <c r="XG10" s="96">
        <v>134849</v>
      </c>
      <c r="XH10" s="96">
        <v>46811</v>
      </c>
      <c r="XI10" s="96">
        <v>86378</v>
      </c>
      <c r="XJ10" s="96">
        <v>7800264</v>
      </c>
      <c r="XK10" s="96">
        <v>7871278</v>
      </c>
      <c r="XL10" s="96">
        <v>684050</v>
      </c>
      <c r="XM10" s="96">
        <v>661512</v>
      </c>
      <c r="XN10" s="96">
        <v>74983</v>
      </c>
      <c r="XO10" s="96"/>
      <c r="XP10" s="96"/>
      <c r="XQ10" s="96"/>
      <c r="XR10" s="96">
        <v>1019606</v>
      </c>
      <c r="XS10" s="96">
        <v>904369</v>
      </c>
      <c r="XT10" s="96">
        <v>9781</v>
      </c>
      <c r="XU10" s="96">
        <v>332027</v>
      </c>
      <c r="XV10" s="96">
        <v>134162</v>
      </c>
      <c r="XW10" s="96">
        <v>151100</v>
      </c>
      <c r="XX10" s="96">
        <v>28068146</v>
      </c>
      <c r="XY10" s="96">
        <v>23564070</v>
      </c>
      <c r="XZ10" s="96">
        <v>1030081</v>
      </c>
      <c r="YA10" s="96">
        <v>484909</v>
      </c>
      <c r="YB10" s="96">
        <v>461815</v>
      </c>
      <c r="YC10" s="96">
        <v>392978</v>
      </c>
      <c r="YD10" s="96">
        <v>582556</v>
      </c>
      <c r="YE10" s="96">
        <v>472342</v>
      </c>
      <c r="YF10" s="96">
        <v>50236684</v>
      </c>
      <c r="YG10" s="96">
        <v>35259791</v>
      </c>
      <c r="YH10" s="96"/>
      <c r="YI10" s="96"/>
      <c r="YJ10" s="96">
        <v>14236000</v>
      </c>
      <c r="YK10" s="96"/>
      <c r="YL10" s="96">
        <v>657601158</v>
      </c>
      <c r="YM10" s="96">
        <v>1203223740</v>
      </c>
      <c r="YN10" s="96">
        <v>789280</v>
      </c>
      <c r="YO10" s="96">
        <v>408406</v>
      </c>
      <c r="YP10" s="96">
        <v>2416297</v>
      </c>
      <c r="YQ10" s="96">
        <v>627056</v>
      </c>
      <c r="YR10" s="96"/>
      <c r="YS10" s="96"/>
      <c r="YT10" s="96">
        <v>1847034</v>
      </c>
      <c r="YU10" s="96">
        <v>10560</v>
      </c>
      <c r="YV10" s="96">
        <v>726082</v>
      </c>
      <c r="YW10" s="96">
        <v>1361943</v>
      </c>
      <c r="YX10" s="96">
        <v>16306797</v>
      </c>
      <c r="YY10" s="96">
        <v>12767053</v>
      </c>
      <c r="YZ10" s="96">
        <v>875928</v>
      </c>
      <c r="ZA10" s="96">
        <v>959728</v>
      </c>
      <c r="ZB10" s="96">
        <v>14273413</v>
      </c>
      <c r="ZC10" s="96">
        <v>3962979</v>
      </c>
      <c r="ZD10" s="96">
        <v>1296981</v>
      </c>
      <c r="ZE10" s="96">
        <v>819533</v>
      </c>
      <c r="ZF10" s="96">
        <v>42276</v>
      </c>
      <c r="ZG10" s="96">
        <v>77582</v>
      </c>
      <c r="ZH10" s="96">
        <v>1814186</v>
      </c>
      <c r="ZI10" s="96">
        <v>562728</v>
      </c>
      <c r="ZJ10" s="96">
        <v>861398</v>
      </c>
      <c r="ZK10" s="96">
        <v>898458</v>
      </c>
      <c r="ZL10" s="96"/>
      <c r="ZM10" s="96"/>
      <c r="ZN10" s="96">
        <v>612</v>
      </c>
      <c r="ZO10" s="96">
        <v>11032</v>
      </c>
      <c r="ZP10" s="96">
        <v>11679</v>
      </c>
      <c r="ZQ10" s="96"/>
      <c r="ZR10" s="96">
        <v>101071</v>
      </c>
      <c r="ZS10" s="96">
        <v>54092</v>
      </c>
      <c r="ZT10" s="96"/>
      <c r="ZU10" s="96"/>
      <c r="ZV10" s="96">
        <v>126338683</v>
      </c>
      <c r="ZW10" s="96">
        <v>124614151</v>
      </c>
      <c r="ZX10" s="96">
        <v>690287</v>
      </c>
      <c r="ZY10" s="96">
        <v>620447</v>
      </c>
      <c r="ZZ10" s="737">
        <v>120931</v>
      </c>
      <c r="AAA10" s="737">
        <v>27141</v>
      </c>
      <c r="AAB10" s="737">
        <v>419116</v>
      </c>
      <c r="AAC10" s="737">
        <v>211944</v>
      </c>
      <c r="AAD10" s="737">
        <v>241223</v>
      </c>
      <c r="AAE10" s="737">
        <v>713667</v>
      </c>
      <c r="AAF10" s="737">
        <v>75508</v>
      </c>
      <c r="AAG10" s="737">
        <v>13068</v>
      </c>
      <c r="AAH10" s="737">
        <v>67548</v>
      </c>
      <c r="AAI10" s="737">
        <v>2632</v>
      </c>
      <c r="AAJ10" s="737">
        <v>71312</v>
      </c>
      <c r="AAK10" s="737">
        <v>188019</v>
      </c>
      <c r="AAL10" s="737">
        <v>211664</v>
      </c>
      <c r="AAM10" s="737">
        <v>27943</v>
      </c>
      <c r="AAN10" s="737">
        <v>347510</v>
      </c>
      <c r="AAO10" s="737">
        <v>141785</v>
      </c>
      <c r="AAP10" s="737">
        <v>20785</v>
      </c>
      <c r="AAQ10" s="737">
        <v>28225</v>
      </c>
      <c r="AAR10" s="737">
        <v>106371</v>
      </c>
      <c r="AAS10" s="761">
        <v>208149</v>
      </c>
      <c r="AAT10" s="738"/>
      <c r="AAU10" s="754">
        <v>203954</v>
      </c>
      <c r="AAV10" s="741">
        <v>0</v>
      </c>
      <c r="AAW10" s="741">
        <v>0</v>
      </c>
      <c r="AAX10" s="737">
        <v>153910</v>
      </c>
      <c r="AAY10" s="737">
        <v>57765</v>
      </c>
      <c r="AAZ10" s="737">
        <v>609927</v>
      </c>
      <c r="ABA10" s="737">
        <v>422571</v>
      </c>
      <c r="ABB10" s="737">
        <v>1292054</v>
      </c>
      <c r="ABC10" s="737">
        <v>1450599</v>
      </c>
      <c r="ABD10" s="737">
        <v>1473102</v>
      </c>
      <c r="ABE10" s="739">
        <v>2122255</v>
      </c>
      <c r="ABF10" s="739">
        <v>14441</v>
      </c>
      <c r="ABG10" s="739">
        <v>7650</v>
      </c>
      <c r="ABH10" s="738">
        <v>1434886</v>
      </c>
      <c r="ABI10" s="737">
        <v>352329</v>
      </c>
      <c r="ABJ10" s="737">
        <v>7413256</v>
      </c>
      <c r="ABK10" s="737">
        <v>8549039</v>
      </c>
      <c r="ABL10" s="737">
        <v>679239</v>
      </c>
      <c r="ABM10" s="737">
        <v>1899939</v>
      </c>
      <c r="ABN10" s="737">
        <v>463805</v>
      </c>
      <c r="ABO10" s="737">
        <v>596469</v>
      </c>
      <c r="ABP10" s="737">
        <v>1316836</v>
      </c>
      <c r="ABQ10" s="737">
        <v>460858</v>
      </c>
      <c r="ABR10" s="737">
        <v>41249280</v>
      </c>
      <c r="ABS10" s="737">
        <v>38865517</v>
      </c>
      <c r="ABT10" s="737">
        <v>22854641</v>
      </c>
      <c r="ABU10" s="737">
        <v>23498456</v>
      </c>
      <c r="ABV10" s="737">
        <v>22351000</v>
      </c>
      <c r="ABW10" s="737">
        <v>34391000</v>
      </c>
      <c r="ABX10" s="737">
        <v>464152</v>
      </c>
      <c r="ABY10" s="737">
        <v>500719</v>
      </c>
      <c r="ABZ10" s="762">
        <v>2413287</v>
      </c>
      <c r="ACA10" s="737">
        <v>2329582</v>
      </c>
      <c r="ACB10" s="737">
        <v>3660852</v>
      </c>
      <c r="ACC10" s="737">
        <v>3188254</v>
      </c>
      <c r="ACD10" s="737">
        <v>179775</v>
      </c>
      <c r="ACE10" s="737">
        <v>706044</v>
      </c>
      <c r="ACF10" s="737">
        <v>1170889</v>
      </c>
      <c r="ACG10" s="737">
        <v>2319712</v>
      </c>
      <c r="ACH10" s="737">
        <v>8494863</v>
      </c>
      <c r="ACI10" s="737">
        <v>7101995</v>
      </c>
      <c r="ACJ10" s="737">
        <v>242181</v>
      </c>
      <c r="ACK10" s="737">
        <v>27226</v>
      </c>
      <c r="ACL10" s="737">
        <v>1791826</v>
      </c>
      <c r="ACM10" s="737">
        <v>1482307</v>
      </c>
      <c r="ACN10" s="737">
        <v>29452</v>
      </c>
      <c r="ACO10" s="737">
        <v>29068</v>
      </c>
      <c r="ACP10" s="737">
        <v>871519</v>
      </c>
      <c r="ACQ10" s="743">
        <v>507412</v>
      </c>
      <c r="ACR10" s="743">
        <v>867732</v>
      </c>
      <c r="ACS10" s="743">
        <v>531681</v>
      </c>
      <c r="ACT10" s="737">
        <v>4809</v>
      </c>
      <c r="ACU10" s="737">
        <v>6146</v>
      </c>
      <c r="ACV10" s="737">
        <v>0</v>
      </c>
      <c r="ACW10" s="737">
        <v>0</v>
      </c>
      <c r="ACX10" s="737">
        <v>109505332</v>
      </c>
      <c r="ACY10" s="737">
        <v>115359511</v>
      </c>
      <c r="ACZ10" s="614">
        <v>108911</v>
      </c>
      <c r="ADA10" s="614">
        <v>646859</v>
      </c>
      <c r="ADB10" s="614">
        <v>178683</v>
      </c>
      <c r="ADC10" s="614">
        <v>154554</v>
      </c>
      <c r="ADD10" s="763">
        <v>578557265</v>
      </c>
      <c r="ADE10" s="763">
        <v>473961794</v>
      </c>
      <c r="ADF10" s="763">
        <v>451721122</v>
      </c>
      <c r="ADG10" s="763">
        <v>775857950</v>
      </c>
      <c r="ADH10" s="614">
        <v>11874316</v>
      </c>
      <c r="ADI10" s="614">
        <v>11874316</v>
      </c>
      <c r="ADJ10" s="763">
        <v>26930000</v>
      </c>
      <c r="ADK10" s="763">
        <v>28433000</v>
      </c>
      <c r="ADL10" s="614"/>
      <c r="ADM10" s="614"/>
      <c r="ADN10" s="763">
        <v>108106900</v>
      </c>
      <c r="ADO10" s="763">
        <v>90785302</v>
      </c>
      <c r="ADP10" s="763">
        <v>142259548</v>
      </c>
      <c r="ADQ10" s="763">
        <v>240745667</v>
      </c>
      <c r="ADR10" s="763"/>
      <c r="ADS10" s="763"/>
      <c r="ADT10" s="763">
        <v>43946000</v>
      </c>
      <c r="ADU10" s="763">
        <v>62849150</v>
      </c>
      <c r="ADV10" s="763">
        <v>543558884</v>
      </c>
      <c r="ADW10" s="763">
        <v>316454470</v>
      </c>
      <c r="ADX10" s="763">
        <v>522319333</v>
      </c>
      <c r="ADY10" s="763">
        <v>302411000</v>
      </c>
      <c r="ADZ10" s="763">
        <v>1505301102.1300001</v>
      </c>
      <c r="AEA10" s="763">
        <v>1508098769.01</v>
      </c>
      <c r="AEB10" s="763">
        <v>1464482035</v>
      </c>
      <c r="AEC10" s="763">
        <v>2225077798</v>
      </c>
      <c r="AED10" s="763">
        <v>1191481284</v>
      </c>
      <c r="AEE10" s="763">
        <v>350437686</v>
      </c>
      <c r="AEF10" s="763">
        <v>1293363637</v>
      </c>
      <c r="AEG10" s="763">
        <v>4029214269</v>
      </c>
      <c r="AEH10" s="763">
        <v>9767932</v>
      </c>
      <c r="AEI10" s="763">
        <v>14606685</v>
      </c>
      <c r="AEJ10" s="763">
        <v>814749226</v>
      </c>
      <c r="AEK10" s="763">
        <v>1517004271</v>
      </c>
      <c r="AEL10" s="763">
        <v>634352848</v>
      </c>
      <c r="AEM10" s="763">
        <v>723243535</v>
      </c>
      <c r="AEN10" s="614">
        <v>1466813</v>
      </c>
      <c r="AEO10" s="614">
        <v>1400667</v>
      </c>
      <c r="AEP10" s="763">
        <v>41837402780</v>
      </c>
      <c r="AEQ10" s="763">
        <v>48960156201</v>
      </c>
      <c r="AER10" s="614"/>
      <c r="AES10" s="614"/>
      <c r="AET10" s="614"/>
      <c r="AEU10" s="614"/>
      <c r="AEV10" s="614">
        <v>16505000</v>
      </c>
      <c r="AEW10" s="614">
        <v>18672000</v>
      </c>
      <c r="AEX10" s="763">
        <v>1055196090.4400001</v>
      </c>
      <c r="AEY10" s="763">
        <v>529308159.94</v>
      </c>
      <c r="AEZ10" s="614"/>
      <c r="AFA10" s="614"/>
      <c r="AFB10" s="763">
        <v>3092093463</v>
      </c>
      <c r="AFC10" s="763">
        <v>4998902996</v>
      </c>
      <c r="AFD10" s="763">
        <v>143450582</v>
      </c>
      <c r="AFE10" s="763">
        <v>282271963</v>
      </c>
      <c r="AFF10" s="763">
        <v>409597487</v>
      </c>
      <c r="AFG10" s="763">
        <v>1236713679</v>
      </c>
      <c r="AFH10" s="763">
        <v>1501473327</v>
      </c>
      <c r="AFI10" s="763">
        <v>1980622997</v>
      </c>
      <c r="AFJ10" s="763">
        <v>1639800809</v>
      </c>
      <c r="AFK10" s="763">
        <v>2079256657</v>
      </c>
      <c r="AFL10" s="614">
        <v>12856</v>
      </c>
      <c r="AFM10" s="614">
        <v>130816</v>
      </c>
      <c r="AFN10" s="614">
        <v>6648454</v>
      </c>
      <c r="AFO10" s="614">
        <v>11588964</v>
      </c>
      <c r="AFP10" s="763">
        <v>3266677961</v>
      </c>
      <c r="AFQ10" s="763">
        <v>3310827788</v>
      </c>
      <c r="AFR10" s="614">
        <v>595940203</v>
      </c>
      <c r="AFS10" s="614">
        <v>783254030</v>
      </c>
      <c r="AFT10" s="763">
        <v>924779000</v>
      </c>
      <c r="AFU10" s="763">
        <v>585782731</v>
      </c>
      <c r="AFV10" s="614">
        <v>6100000</v>
      </c>
      <c r="AFW10" s="614">
        <v>16980640</v>
      </c>
      <c r="AFX10" s="763">
        <v>137625489916</v>
      </c>
      <c r="AFY10" s="763">
        <v>178433067436</v>
      </c>
      <c r="AFZ10" s="638">
        <v>282271963</v>
      </c>
      <c r="AGA10" s="638">
        <v>334190376</v>
      </c>
      <c r="AGB10" s="638">
        <v>4998902996</v>
      </c>
      <c r="AGC10" s="638">
        <v>913682733</v>
      </c>
      <c r="AGD10" s="638">
        <v>1517004271</v>
      </c>
      <c r="AGE10" s="638">
        <v>4693409651</v>
      </c>
      <c r="AGF10" s="638">
        <v>314889683</v>
      </c>
      <c r="AGG10" s="638">
        <v>445206995</v>
      </c>
      <c r="AGH10" s="638">
        <v>773652316</v>
      </c>
      <c r="AGI10" s="638">
        <v>1150552080</v>
      </c>
      <c r="AGJ10" s="752">
        <v>18309840</v>
      </c>
      <c r="AGK10" s="752">
        <v>17652424</v>
      </c>
      <c r="AGL10" s="638">
        <v>2225077798</v>
      </c>
      <c r="AGM10" s="638">
        <v>1570423045</v>
      </c>
      <c r="AGN10" s="638">
        <v>48960156201</v>
      </c>
      <c r="AGO10" s="638">
        <v>77835009825</v>
      </c>
      <c r="AGP10" s="638">
        <v>314889683</v>
      </c>
      <c r="AGQ10" s="638">
        <v>445206995</v>
      </c>
      <c r="AGR10" s="638">
        <v>1597683106</v>
      </c>
      <c r="AGS10" s="638">
        <v>1532127192</v>
      </c>
      <c r="AGT10" s="638">
        <v>130816000</v>
      </c>
      <c r="AGU10" s="638">
        <v>19613000</v>
      </c>
      <c r="AGV10" s="638">
        <v>585782731</v>
      </c>
      <c r="AGW10" s="638">
        <v>9784378330</v>
      </c>
      <c r="AGX10" s="644"/>
      <c r="AGY10" s="644"/>
      <c r="AGZ10" s="638">
        <v>1902759957</v>
      </c>
      <c r="AHA10" s="638">
        <v>1936887119</v>
      </c>
      <c r="AHB10" s="638">
        <v>295877645</v>
      </c>
      <c r="AHC10" s="638">
        <v>202561844</v>
      </c>
      <c r="AHD10" s="638">
        <v>739017073</v>
      </c>
      <c r="AHE10" s="638">
        <v>486500142</v>
      </c>
      <c r="AHF10" s="638">
        <v>37386510000</v>
      </c>
      <c r="AHG10" s="638">
        <v>35905558000</v>
      </c>
      <c r="AHH10" s="638">
        <v>4029214269</v>
      </c>
      <c r="AHI10" s="638">
        <v>3960819756</v>
      </c>
      <c r="AHJ10" s="638">
        <v>302635000</v>
      </c>
      <c r="AHK10" s="638">
        <v>257444000</v>
      </c>
      <c r="AHL10" s="638">
        <v>910665000</v>
      </c>
      <c r="AHM10" s="638">
        <v>3168417000</v>
      </c>
      <c r="AHN10" s="638">
        <v>1980622997</v>
      </c>
      <c r="AHO10" s="638">
        <v>2171429336</v>
      </c>
      <c r="AHP10" s="638">
        <v>154554000</v>
      </c>
      <c r="AHQ10" s="638">
        <v>437130667</v>
      </c>
      <c r="AHR10" s="638">
        <v>139505000</v>
      </c>
      <c r="AHS10" s="638">
        <v>725606798</v>
      </c>
      <c r="AHT10" s="638">
        <v>1198912946</v>
      </c>
      <c r="AHU10" s="638">
        <v>727926072</v>
      </c>
      <c r="AHV10" s="638">
        <v>28433000</v>
      </c>
      <c r="AHW10" s="638">
        <v>40859000</v>
      </c>
      <c r="AHX10" s="638">
        <v>473961794</v>
      </c>
      <c r="AHY10" s="638">
        <v>447372057</v>
      </c>
      <c r="AHZ10" s="638">
        <v>1236713679</v>
      </c>
      <c r="AIA10" s="638">
        <v>1934253118</v>
      </c>
      <c r="AIB10" s="638">
        <v>3904461843</v>
      </c>
      <c r="AIC10" s="638">
        <v>4417984712</v>
      </c>
      <c r="AID10" s="638">
        <v>18672000000</v>
      </c>
      <c r="AIE10" s="638">
        <v>22343000000</v>
      </c>
      <c r="AIF10" s="638">
        <v>148210000</v>
      </c>
      <c r="AIG10" s="638">
        <v>574791000</v>
      </c>
      <c r="AIH10" s="644"/>
      <c r="AII10" s="638">
        <v>21351076</v>
      </c>
      <c r="AIJ10" s="638">
        <v>460455339</v>
      </c>
      <c r="AIK10" s="638">
        <v>804833355</v>
      </c>
      <c r="AIL10" s="638">
        <v>3453016149</v>
      </c>
      <c r="AIM10" s="638">
        <v>2656952455</v>
      </c>
      <c r="AIN10" s="644"/>
      <c r="AIO10" s="638">
        <v>359350</v>
      </c>
      <c r="AIP10" s="644"/>
      <c r="AIQ10" s="638">
        <v>7519222</v>
      </c>
      <c r="AIR10" s="637">
        <v>11588964000</v>
      </c>
      <c r="AIS10" s="637">
        <v>7291237000</v>
      </c>
      <c r="AIT10" s="637">
        <v>689786008</v>
      </c>
      <c r="AIU10" s="637">
        <v>372461705</v>
      </c>
      <c r="AIV10" s="637">
        <v>445893111</v>
      </c>
      <c r="AIW10" s="637">
        <v>596494587</v>
      </c>
      <c r="AIX10" s="638">
        <v>546638</v>
      </c>
      <c r="AIY10" s="638">
        <v>342368</v>
      </c>
      <c r="AIZ10" s="638">
        <v>377248504</v>
      </c>
      <c r="AJA10" s="638">
        <v>299117920</v>
      </c>
      <c r="AJB10" s="638">
        <v>14606684000</v>
      </c>
      <c r="AJC10" s="638">
        <v>13365599000</v>
      </c>
      <c r="AJD10" s="638">
        <v>7601000</v>
      </c>
      <c r="AJE10" s="638">
        <v>6057000</v>
      </c>
      <c r="AJF10" s="638">
        <v>18672000000</v>
      </c>
      <c r="AJG10" s="638">
        <v>22343000000</v>
      </c>
      <c r="AJH10" s="638">
        <v>529308159</v>
      </c>
      <c r="AJI10" s="638">
        <v>2233616516</v>
      </c>
      <c r="AJJ10" s="638">
        <v>3310827788</v>
      </c>
      <c r="AJK10" s="638">
        <v>4740350079</v>
      </c>
      <c r="AJL10" s="638">
        <v>904438490</v>
      </c>
      <c r="AJM10" s="638">
        <v>1289239369</v>
      </c>
      <c r="AJN10" s="638">
        <v>783254030</v>
      </c>
      <c r="AJO10" s="638">
        <v>2588677534</v>
      </c>
    </row>
    <row r="11" spans="1:951" x14ac:dyDescent="0.25">
      <c r="A11" s="92" t="s">
        <v>13</v>
      </c>
      <c r="B11" s="96">
        <v>0</v>
      </c>
      <c r="C11" s="96">
        <v>0</v>
      </c>
      <c r="D11" s="96">
        <v>1588660</v>
      </c>
      <c r="E11" s="96">
        <v>2300000</v>
      </c>
      <c r="F11" s="96">
        <v>2392087</v>
      </c>
      <c r="G11" s="96">
        <v>256667</v>
      </c>
      <c r="H11" s="96">
        <v>163333</v>
      </c>
      <c r="I11" s="96">
        <v>0</v>
      </c>
      <c r="J11" s="96">
        <v>0</v>
      </c>
      <c r="K11" s="96">
        <v>0</v>
      </c>
      <c r="L11" s="96">
        <v>1277543.551</v>
      </c>
      <c r="M11" s="96">
        <v>1170713.4569999999</v>
      </c>
      <c r="N11" s="96">
        <v>1095641.868</v>
      </c>
      <c r="O11" s="96">
        <v>1606494</v>
      </c>
      <c r="P11" s="96">
        <v>1303247</v>
      </c>
      <c r="Q11" s="96">
        <v>0</v>
      </c>
      <c r="R11" s="96">
        <v>0</v>
      </c>
      <c r="S11" s="96">
        <v>0</v>
      </c>
      <c r="T11" s="96"/>
      <c r="U11" s="96"/>
      <c r="V11" s="96">
        <v>0</v>
      </c>
      <c r="W11" s="96">
        <v>0</v>
      </c>
      <c r="X11" s="96">
        <v>0</v>
      </c>
      <c r="Y11" s="96">
        <v>0</v>
      </c>
      <c r="Z11" s="96">
        <v>667825</v>
      </c>
      <c r="AA11" s="96">
        <v>0</v>
      </c>
      <c r="AB11" s="96">
        <v>30849.694</v>
      </c>
      <c r="AC11" s="96">
        <v>8687.1569999999992</v>
      </c>
      <c r="AD11" s="96">
        <v>51651</v>
      </c>
      <c r="AE11" s="96">
        <v>319367</v>
      </c>
      <c r="AF11" s="96">
        <v>1355464</v>
      </c>
      <c r="AG11" s="96">
        <v>0</v>
      </c>
      <c r="AH11" s="96">
        <v>198198.96799999999</v>
      </c>
      <c r="AI11" s="96"/>
      <c r="AJ11" s="96"/>
      <c r="AK11" s="96">
        <v>0</v>
      </c>
      <c r="AL11" s="96">
        <v>0</v>
      </c>
      <c r="AM11" s="96">
        <v>670000</v>
      </c>
      <c r="AN11" s="96">
        <v>680000</v>
      </c>
      <c r="AO11" s="96">
        <v>690958</v>
      </c>
      <c r="AP11" s="96">
        <v>0</v>
      </c>
      <c r="AQ11" s="96">
        <v>21393</v>
      </c>
      <c r="AR11" s="96">
        <v>4495</v>
      </c>
      <c r="AS11" s="96"/>
      <c r="AT11" s="96">
        <v>135595</v>
      </c>
      <c r="AU11" s="96">
        <v>518464</v>
      </c>
      <c r="AV11" s="96">
        <v>0</v>
      </c>
      <c r="AW11" s="96">
        <v>0</v>
      </c>
      <c r="AX11" s="96">
        <v>0</v>
      </c>
      <c r="AY11" s="96">
        <v>0</v>
      </c>
      <c r="AZ11" s="96">
        <v>0</v>
      </c>
      <c r="BA11" s="96">
        <v>0</v>
      </c>
      <c r="BB11" s="96">
        <v>370.8</v>
      </c>
      <c r="BC11" s="96"/>
      <c r="BD11" s="96"/>
      <c r="BE11" s="96">
        <v>0</v>
      </c>
      <c r="BF11" s="96">
        <v>158164.35999999999</v>
      </c>
      <c r="BG11" s="96">
        <v>167463.383</v>
      </c>
      <c r="BH11" s="96">
        <v>270777</v>
      </c>
      <c r="BI11" s="96">
        <v>336274</v>
      </c>
      <c r="BJ11" s="96"/>
      <c r="BK11" s="96"/>
      <c r="BL11" s="96"/>
      <c r="BM11" s="96"/>
      <c r="BN11" s="96">
        <v>307894</v>
      </c>
      <c r="BO11" s="96"/>
      <c r="BP11" s="96"/>
      <c r="BQ11" s="96">
        <v>0</v>
      </c>
      <c r="BR11" s="96"/>
      <c r="BS11" s="96">
        <v>25034</v>
      </c>
      <c r="BT11" s="96">
        <v>0</v>
      </c>
      <c r="BU11" s="96">
        <v>0</v>
      </c>
      <c r="BV11" s="96">
        <v>0</v>
      </c>
      <c r="BW11" s="96">
        <v>0</v>
      </c>
      <c r="BX11" s="96">
        <v>0</v>
      </c>
      <c r="BY11" s="96">
        <v>0</v>
      </c>
      <c r="BZ11" s="96">
        <v>101312.68399999999</v>
      </c>
      <c r="CA11" s="96">
        <v>183378.867</v>
      </c>
      <c r="CB11" s="96">
        <v>983232</v>
      </c>
      <c r="CC11" s="96">
        <v>1123625</v>
      </c>
      <c r="CD11" s="96">
        <v>0</v>
      </c>
      <c r="CE11" s="96">
        <v>0</v>
      </c>
      <c r="CF11" s="96"/>
      <c r="CG11" s="96"/>
      <c r="CH11" s="96"/>
      <c r="CI11" s="96">
        <v>0</v>
      </c>
      <c r="CJ11" s="96">
        <v>0</v>
      </c>
      <c r="CK11" s="96">
        <v>0</v>
      </c>
      <c r="CL11" s="96">
        <v>0</v>
      </c>
      <c r="CM11" s="96">
        <v>0</v>
      </c>
      <c r="CN11" s="96">
        <v>0</v>
      </c>
      <c r="CO11" s="96">
        <v>38552.650999999998</v>
      </c>
      <c r="CP11" s="96">
        <v>79573.784</v>
      </c>
      <c r="CQ11" s="96">
        <v>434330</v>
      </c>
      <c r="CR11" s="96">
        <v>297252</v>
      </c>
      <c r="CS11" s="96">
        <v>0</v>
      </c>
      <c r="CT11" s="96">
        <v>687089.51199999999</v>
      </c>
      <c r="CU11" s="96">
        <v>766857</v>
      </c>
      <c r="CV11" s="96"/>
      <c r="CW11" s="96"/>
      <c r="CX11" s="96">
        <v>0</v>
      </c>
      <c r="CY11" s="96">
        <v>0</v>
      </c>
      <c r="CZ11" s="96">
        <v>0</v>
      </c>
      <c r="DA11" s="96"/>
      <c r="DB11" s="96"/>
      <c r="DC11" s="96">
        <v>0</v>
      </c>
      <c r="DD11" s="96">
        <v>0</v>
      </c>
      <c r="DE11" s="96">
        <v>0</v>
      </c>
      <c r="DF11" s="96">
        <v>72623</v>
      </c>
      <c r="DG11" s="96"/>
      <c r="DH11" s="96">
        <v>0</v>
      </c>
      <c r="DI11" s="96">
        <v>0</v>
      </c>
      <c r="DJ11" s="96"/>
      <c r="DK11" s="96"/>
      <c r="DL11" s="96">
        <v>345427</v>
      </c>
      <c r="DM11" s="102">
        <v>448718</v>
      </c>
      <c r="DN11" s="96">
        <v>408846</v>
      </c>
      <c r="DO11" s="96">
        <v>382796</v>
      </c>
      <c r="DP11" s="96">
        <v>3885400</v>
      </c>
      <c r="DQ11" s="96">
        <v>3536983</v>
      </c>
      <c r="DR11" s="96">
        <v>9558722.1960000005</v>
      </c>
      <c r="DS11" s="96">
        <v>19443118.969999999</v>
      </c>
      <c r="DT11" s="96">
        <v>27783589.399999999</v>
      </c>
      <c r="DU11" s="96">
        <v>14505895</v>
      </c>
      <c r="DV11" s="96">
        <v>35443619</v>
      </c>
      <c r="DW11" s="96">
        <v>925181.65899999999</v>
      </c>
      <c r="DX11" s="96">
        <v>892616.26500000001</v>
      </c>
      <c r="DY11" s="96">
        <v>306812.93800000002</v>
      </c>
      <c r="DZ11" s="96">
        <v>283617</v>
      </c>
      <c r="EA11" s="96">
        <v>210138</v>
      </c>
      <c r="EB11" s="96"/>
      <c r="EC11" s="96"/>
      <c r="ED11" s="96"/>
      <c r="EE11" s="96"/>
      <c r="EF11" s="96"/>
      <c r="EG11" s="96"/>
      <c r="EH11" s="96"/>
      <c r="EI11" s="96"/>
      <c r="EJ11" s="96">
        <v>103440</v>
      </c>
      <c r="EK11" s="96">
        <v>34675</v>
      </c>
      <c r="EL11" s="96"/>
      <c r="EM11" s="96"/>
      <c r="EN11" s="96"/>
      <c r="EO11" s="96"/>
      <c r="EP11" s="96"/>
      <c r="EQ11" s="96"/>
      <c r="ER11" s="96"/>
      <c r="ES11" s="96"/>
      <c r="ET11" s="96"/>
      <c r="EU11" s="96">
        <v>116592</v>
      </c>
      <c r="EV11" s="96">
        <v>124921</v>
      </c>
      <c r="EW11" s="96">
        <v>235876</v>
      </c>
      <c r="EX11" s="96">
        <v>1303247</v>
      </c>
      <c r="EY11" s="96">
        <v>1250000</v>
      </c>
      <c r="EZ11" s="96"/>
      <c r="FA11" s="96">
        <v>2509699</v>
      </c>
      <c r="FB11" s="96">
        <v>319367</v>
      </c>
      <c r="FC11" s="96">
        <v>537419</v>
      </c>
      <c r="FD11" s="96"/>
      <c r="FE11" s="96">
        <v>81738</v>
      </c>
      <c r="FF11" s="96">
        <v>690958</v>
      </c>
      <c r="FG11" s="96">
        <v>161580</v>
      </c>
      <c r="FH11" s="96">
        <v>135595</v>
      </c>
      <c r="FI11" s="96"/>
      <c r="FJ11" s="96"/>
      <c r="FK11" s="96"/>
      <c r="FL11" s="96"/>
      <c r="FM11" s="96"/>
      <c r="FN11" s="96">
        <v>25034</v>
      </c>
      <c r="FO11" s="96">
        <v>6034</v>
      </c>
      <c r="FP11" s="96">
        <v>336274</v>
      </c>
      <c r="FQ11" s="96">
        <v>310404</v>
      </c>
      <c r="FR11" s="96">
        <v>0</v>
      </c>
      <c r="FS11" s="96">
        <v>0</v>
      </c>
      <c r="FT11" s="96"/>
      <c r="FU11" s="96">
        <v>0</v>
      </c>
      <c r="FV11" s="96">
        <v>1123625</v>
      </c>
      <c r="FW11" s="96">
        <v>707237</v>
      </c>
      <c r="FX11" s="96"/>
      <c r="FY11" s="96"/>
      <c r="FZ11" s="96">
        <v>667825</v>
      </c>
      <c r="GA11" s="96">
        <v>218365</v>
      </c>
      <c r="GB11" s="96">
        <v>307894</v>
      </c>
      <c r="GC11" s="96">
        <v>269738</v>
      </c>
      <c r="GD11" s="96"/>
      <c r="GE11" s="96">
        <v>0</v>
      </c>
      <c r="GF11" s="96"/>
      <c r="GG11" s="96"/>
      <c r="GH11" s="96">
        <v>297252</v>
      </c>
      <c r="GI11" s="96">
        <v>422045</v>
      </c>
      <c r="GJ11" s="96">
        <v>0</v>
      </c>
      <c r="GK11" s="96">
        <v>0</v>
      </c>
      <c r="GL11" s="96">
        <v>139801</v>
      </c>
      <c r="GM11" s="96">
        <v>0</v>
      </c>
      <c r="GN11" s="96"/>
      <c r="GO11" s="96">
        <v>0</v>
      </c>
      <c r="GP11" s="96">
        <v>0</v>
      </c>
      <c r="GQ11" s="96">
        <v>0</v>
      </c>
      <c r="GR11" s="96"/>
      <c r="GS11" s="96"/>
      <c r="GT11" s="96">
        <v>978960</v>
      </c>
      <c r="GU11" s="96">
        <v>277536</v>
      </c>
      <c r="GV11" s="96"/>
      <c r="GW11" s="96"/>
      <c r="GX11" s="96">
        <v>0</v>
      </c>
      <c r="GY11" s="96">
        <v>0</v>
      </c>
      <c r="GZ11" s="96">
        <v>44074327</v>
      </c>
      <c r="HA11" s="96">
        <v>64016585</v>
      </c>
      <c r="HB11" s="96">
        <v>322161</v>
      </c>
      <c r="HC11" s="96">
        <v>565161</v>
      </c>
      <c r="HD11" s="96">
        <v>0</v>
      </c>
      <c r="HE11" s="96">
        <v>0</v>
      </c>
      <c r="HF11" s="96">
        <v>513738</v>
      </c>
      <c r="HG11" s="96">
        <v>606598</v>
      </c>
      <c r="HH11" s="96">
        <v>4817342</v>
      </c>
      <c r="HI11" s="96">
        <v>12628066</v>
      </c>
      <c r="HJ11" s="96">
        <v>0</v>
      </c>
      <c r="HK11" s="96">
        <v>0</v>
      </c>
      <c r="HL11" s="96">
        <v>11110609</v>
      </c>
      <c r="HM11" s="96">
        <v>22845899</v>
      </c>
      <c r="HN11" s="96">
        <v>622301</v>
      </c>
      <c r="HO11" s="96">
        <v>318765</v>
      </c>
      <c r="HP11" s="96"/>
      <c r="HQ11" s="96"/>
      <c r="HR11" s="96">
        <v>3186547</v>
      </c>
      <c r="HS11" s="96">
        <v>2674158</v>
      </c>
      <c r="HT11" s="96">
        <v>34675</v>
      </c>
      <c r="HU11" s="96"/>
      <c r="HV11" s="96"/>
      <c r="HW11" s="96"/>
      <c r="HX11" s="96">
        <v>1035910</v>
      </c>
      <c r="HY11" s="96">
        <v>810757</v>
      </c>
      <c r="HZ11" s="96">
        <v>0</v>
      </c>
      <c r="IA11" s="96">
        <v>0</v>
      </c>
      <c r="IB11" s="96">
        <v>118055</v>
      </c>
      <c r="IC11" s="96">
        <v>366666</v>
      </c>
      <c r="ID11" s="96">
        <v>1100205</v>
      </c>
      <c r="IE11" s="96">
        <v>1004736</v>
      </c>
      <c r="IF11" s="96">
        <v>2102749</v>
      </c>
      <c r="IG11" s="96">
        <v>1985325</v>
      </c>
      <c r="IH11" s="96"/>
      <c r="II11" s="96"/>
      <c r="IJ11" s="96">
        <v>2677838</v>
      </c>
      <c r="IK11" s="96">
        <v>1572622</v>
      </c>
      <c r="IL11" s="96">
        <v>116592</v>
      </c>
      <c r="IM11" s="96">
        <v>9506</v>
      </c>
      <c r="IN11" s="96"/>
      <c r="IO11" s="96"/>
      <c r="IP11" s="96"/>
      <c r="IQ11" s="96">
        <v>0</v>
      </c>
      <c r="IR11" s="96"/>
      <c r="IS11" s="96">
        <v>0</v>
      </c>
      <c r="IT11" s="96">
        <v>345427</v>
      </c>
      <c r="IU11" s="96">
        <v>205000</v>
      </c>
      <c r="IV11" s="96">
        <v>3536983</v>
      </c>
      <c r="IW11" s="96">
        <v>2929963</v>
      </c>
      <c r="IX11" s="96">
        <v>35443619</v>
      </c>
      <c r="IY11" s="96">
        <v>36690829</v>
      </c>
      <c r="IZ11" s="96">
        <v>210138</v>
      </c>
      <c r="JA11" s="96"/>
      <c r="JB11" s="96">
        <v>235876</v>
      </c>
      <c r="JC11" s="96">
        <v>128976</v>
      </c>
      <c r="JD11" s="96">
        <v>1250000</v>
      </c>
      <c r="JE11" s="96">
        <v>2275000</v>
      </c>
      <c r="JF11" s="96">
        <v>2509699</v>
      </c>
      <c r="JG11" s="96">
        <v>2427773</v>
      </c>
      <c r="JH11" s="96">
        <v>537419</v>
      </c>
      <c r="JI11" s="96">
        <v>275249</v>
      </c>
      <c r="JJ11" s="96">
        <v>81738</v>
      </c>
      <c r="JK11" s="96"/>
      <c r="JL11" s="96">
        <v>161580</v>
      </c>
      <c r="JM11" s="96">
        <v>194800</v>
      </c>
      <c r="JN11" s="96">
        <v>61320</v>
      </c>
      <c r="JO11" s="96"/>
      <c r="JP11" s="96"/>
      <c r="JQ11" s="96"/>
      <c r="JR11" s="96"/>
      <c r="JS11" s="96"/>
      <c r="JT11" s="96">
        <v>6034</v>
      </c>
      <c r="JU11" s="96"/>
      <c r="JV11" s="96">
        <v>310404</v>
      </c>
      <c r="JW11" s="96">
        <v>229583</v>
      </c>
      <c r="JX11" s="96">
        <v>0</v>
      </c>
      <c r="JY11" s="96">
        <v>0</v>
      </c>
      <c r="JZ11" s="96">
        <v>0</v>
      </c>
      <c r="KA11" s="96">
        <v>0</v>
      </c>
      <c r="KB11" s="96">
        <v>707237</v>
      </c>
      <c r="KC11" s="96"/>
      <c r="KD11" s="96"/>
      <c r="KE11" s="96"/>
      <c r="KF11" s="96">
        <v>218365</v>
      </c>
      <c r="KG11" s="96">
        <v>539406</v>
      </c>
      <c r="KH11" s="96">
        <v>269738</v>
      </c>
      <c r="KI11" s="96"/>
      <c r="KJ11" s="96">
        <v>0</v>
      </c>
      <c r="KK11" s="96">
        <v>0</v>
      </c>
      <c r="KL11" s="96">
        <v>576922</v>
      </c>
      <c r="KM11" s="96">
        <v>552978</v>
      </c>
      <c r="KN11" s="96">
        <v>422045</v>
      </c>
      <c r="KO11" s="96">
        <v>277264</v>
      </c>
      <c r="KP11" s="96">
        <v>0</v>
      </c>
      <c r="KQ11" s="96">
        <v>0</v>
      </c>
      <c r="KR11" s="96">
        <v>0</v>
      </c>
      <c r="KS11" s="96">
        <v>0</v>
      </c>
      <c r="KT11" s="96">
        <v>0</v>
      </c>
      <c r="KU11" s="96">
        <v>3288784</v>
      </c>
      <c r="KV11" s="96">
        <v>0</v>
      </c>
      <c r="KW11" s="96">
        <v>0</v>
      </c>
      <c r="KX11" s="96"/>
      <c r="KY11" s="96"/>
      <c r="KZ11" s="96">
        <v>277536</v>
      </c>
      <c r="LA11" s="96">
        <v>116172</v>
      </c>
      <c r="LB11" s="96"/>
      <c r="LC11" s="96"/>
      <c r="LD11" s="96">
        <v>0</v>
      </c>
      <c r="LE11" s="96">
        <v>0</v>
      </c>
      <c r="LF11" s="96">
        <v>64016585</v>
      </c>
      <c r="LG11" s="96">
        <v>54119935</v>
      </c>
      <c r="LH11" s="96">
        <v>565161</v>
      </c>
      <c r="LI11" s="96">
        <v>755799</v>
      </c>
      <c r="LJ11" s="96">
        <v>0</v>
      </c>
      <c r="LK11" s="96">
        <v>0</v>
      </c>
      <c r="LL11" s="96">
        <v>606598</v>
      </c>
      <c r="LM11" s="96">
        <v>88000</v>
      </c>
      <c r="LN11" s="96">
        <v>12628066</v>
      </c>
      <c r="LO11" s="96">
        <v>359283</v>
      </c>
      <c r="LP11" s="96">
        <v>0</v>
      </c>
      <c r="LQ11" s="96">
        <v>0</v>
      </c>
      <c r="LR11" s="96">
        <v>22845899</v>
      </c>
      <c r="LS11" s="96">
        <v>28801000</v>
      </c>
      <c r="LT11" s="96">
        <v>318765</v>
      </c>
      <c r="LU11" s="96">
        <v>54983</v>
      </c>
      <c r="LV11" s="96"/>
      <c r="LW11" s="96"/>
      <c r="LX11" s="96">
        <v>2674158</v>
      </c>
      <c r="LY11" s="96">
        <v>2369032</v>
      </c>
      <c r="LZ11" s="96"/>
      <c r="MA11" s="96"/>
      <c r="MB11" s="96"/>
      <c r="MC11" s="96"/>
      <c r="MD11" s="96">
        <v>810757</v>
      </c>
      <c r="ME11" s="96">
        <v>680314</v>
      </c>
      <c r="MF11" s="96">
        <v>0</v>
      </c>
      <c r="MG11" s="96">
        <v>3048269</v>
      </c>
      <c r="MH11" s="96">
        <v>366666</v>
      </c>
      <c r="MI11" s="96">
        <v>466667</v>
      </c>
      <c r="MJ11" s="96">
        <v>1004736</v>
      </c>
      <c r="MK11" s="96">
        <v>8197044</v>
      </c>
      <c r="ML11" s="96">
        <v>1985325</v>
      </c>
      <c r="MM11" s="96">
        <v>2378088</v>
      </c>
      <c r="MN11" s="96"/>
      <c r="MO11" s="96">
        <v>127447</v>
      </c>
      <c r="MP11" s="96">
        <v>1572622</v>
      </c>
      <c r="MQ11" s="96">
        <v>775088</v>
      </c>
      <c r="MR11" s="96">
        <v>9506</v>
      </c>
      <c r="MS11" s="96">
        <v>970311</v>
      </c>
      <c r="MT11" s="96"/>
      <c r="MU11" s="96"/>
      <c r="MV11" s="96">
        <v>0</v>
      </c>
      <c r="MW11" s="96">
        <v>0</v>
      </c>
      <c r="MX11" s="96">
        <v>0</v>
      </c>
      <c r="MY11" s="96"/>
      <c r="MZ11" s="96">
        <v>205000</v>
      </c>
      <c r="NA11" s="96">
        <v>100000</v>
      </c>
      <c r="NB11" s="96">
        <v>2929963</v>
      </c>
      <c r="NC11" s="96">
        <v>591874</v>
      </c>
      <c r="ND11" s="96">
        <v>36690829</v>
      </c>
      <c r="NE11" s="96">
        <v>66516844</v>
      </c>
      <c r="NF11" s="96"/>
      <c r="NG11" s="96">
        <v>53333</v>
      </c>
      <c r="NH11" s="391">
        <v>128976</v>
      </c>
      <c r="NI11" s="391">
        <v>58662</v>
      </c>
      <c r="NJ11" s="391"/>
      <c r="NK11" s="391"/>
      <c r="NL11" s="391">
        <v>2427773</v>
      </c>
      <c r="NM11" s="391">
        <v>2131105</v>
      </c>
      <c r="NN11" s="391">
        <v>275249</v>
      </c>
      <c r="NO11" s="391">
        <v>489687</v>
      </c>
      <c r="NP11" s="391"/>
      <c r="NQ11" s="391"/>
      <c r="NR11" s="391">
        <v>194800</v>
      </c>
      <c r="NS11" s="391">
        <v>51285</v>
      </c>
      <c r="NT11" s="391">
        <v>61320</v>
      </c>
      <c r="NU11" s="391"/>
      <c r="NV11" s="391"/>
      <c r="NW11" s="391"/>
      <c r="NX11" s="391"/>
      <c r="NY11" s="391"/>
      <c r="NZ11" s="391"/>
      <c r="OA11" s="391"/>
      <c r="OB11" s="391">
        <v>229583</v>
      </c>
      <c r="OC11" s="391">
        <v>450000</v>
      </c>
      <c r="OD11" s="391">
        <v>0</v>
      </c>
      <c r="OE11" s="391"/>
      <c r="OF11" s="391">
        <v>0</v>
      </c>
      <c r="OG11" s="391">
        <v>0</v>
      </c>
      <c r="OH11" s="391"/>
      <c r="OI11" s="391"/>
      <c r="OJ11" s="391"/>
      <c r="OK11" s="391">
        <v>23328</v>
      </c>
      <c r="OL11" s="391">
        <f>944851-OL10</f>
        <v>539406</v>
      </c>
      <c r="OM11" s="391">
        <v>2438655</v>
      </c>
      <c r="ON11" s="391"/>
      <c r="OO11" s="391">
        <v>77100</v>
      </c>
      <c r="OP11" s="391">
        <v>0</v>
      </c>
      <c r="OQ11" s="391">
        <v>0</v>
      </c>
      <c r="OR11" s="391">
        <v>552978</v>
      </c>
      <c r="OS11" s="391"/>
      <c r="OT11" s="391">
        <v>277264</v>
      </c>
      <c r="OU11" s="391">
        <v>449561</v>
      </c>
      <c r="OV11" s="391">
        <v>0</v>
      </c>
      <c r="OW11" s="391">
        <v>0</v>
      </c>
      <c r="OX11" s="391">
        <v>0</v>
      </c>
      <c r="OY11" s="391">
        <v>0</v>
      </c>
      <c r="OZ11" s="391">
        <v>3288784</v>
      </c>
      <c r="PA11" s="391"/>
      <c r="PB11" s="391">
        <v>0</v>
      </c>
      <c r="PC11" s="391">
        <v>0</v>
      </c>
      <c r="PD11" s="391"/>
      <c r="PE11" s="391"/>
      <c r="PF11" s="391">
        <v>116172</v>
      </c>
      <c r="PG11" s="391">
        <v>14056</v>
      </c>
      <c r="PH11" s="391"/>
      <c r="PI11" s="391"/>
      <c r="PJ11" s="391">
        <v>0</v>
      </c>
      <c r="PK11" s="391">
        <v>0</v>
      </c>
      <c r="PL11" s="391">
        <v>43238638</v>
      </c>
      <c r="PM11" s="391">
        <v>58314621</v>
      </c>
      <c r="PN11" s="391">
        <v>866874</v>
      </c>
      <c r="PO11" s="391">
        <v>1415764</v>
      </c>
      <c r="PP11" s="391">
        <v>0</v>
      </c>
      <c r="PQ11" s="391">
        <v>0</v>
      </c>
      <c r="PR11" s="391">
        <v>88000</v>
      </c>
      <c r="PS11" s="391">
        <v>88000</v>
      </c>
      <c r="PT11" s="391">
        <v>338296</v>
      </c>
      <c r="PU11" s="391">
        <v>1677885</v>
      </c>
      <c r="PV11" s="391">
        <v>0</v>
      </c>
      <c r="PW11" s="391">
        <v>0</v>
      </c>
      <c r="PX11" s="391">
        <v>34815000</v>
      </c>
      <c r="PY11" s="391">
        <v>63430000</v>
      </c>
      <c r="PZ11" s="391">
        <v>54983</v>
      </c>
      <c r="QA11" s="391"/>
      <c r="QB11" s="391"/>
      <c r="QC11" s="391">
        <v>165285</v>
      </c>
      <c r="QD11" s="391">
        <v>2369032</v>
      </c>
      <c r="QE11" s="392">
        <v>3324926</v>
      </c>
      <c r="QF11" s="391"/>
      <c r="QG11" s="391"/>
      <c r="QH11" s="391"/>
      <c r="QI11" s="391"/>
      <c r="QJ11" s="391">
        <v>680314</v>
      </c>
      <c r="QK11" s="391">
        <v>171633</v>
      </c>
      <c r="QL11" s="391">
        <v>3048269</v>
      </c>
      <c r="QM11" s="391">
        <v>5063125</v>
      </c>
      <c r="QN11" s="391">
        <v>366666</v>
      </c>
      <c r="QO11" s="391">
        <v>466667</v>
      </c>
      <c r="QP11" s="391">
        <v>8197044</v>
      </c>
      <c r="QQ11" s="391">
        <v>11692918</v>
      </c>
      <c r="QR11" s="391">
        <v>2378088</v>
      </c>
      <c r="QS11" s="391">
        <v>3793589</v>
      </c>
      <c r="QT11" s="391">
        <v>127447</v>
      </c>
      <c r="QU11" s="391">
        <v>328563</v>
      </c>
      <c r="QV11" s="391">
        <v>1572622</v>
      </c>
      <c r="QW11" s="391">
        <v>775088</v>
      </c>
      <c r="QX11" s="391">
        <v>739782</v>
      </c>
      <c r="QY11" s="391">
        <v>822733</v>
      </c>
      <c r="QZ11" s="391"/>
      <c r="RA11" s="391"/>
      <c r="RB11" s="391">
        <v>0</v>
      </c>
      <c r="RC11" s="391">
        <v>0</v>
      </c>
      <c r="RD11" s="391">
        <v>0</v>
      </c>
      <c r="RE11" s="391"/>
      <c r="RF11" s="391">
        <v>100000</v>
      </c>
      <c r="RG11" s="391"/>
      <c r="RH11" s="391">
        <v>2929963</v>
      </c>
      <c r="RI11" s="391">
        <v>591874</v>
      </c>
      <c r="RJ11" s="391">
        <v>68369564</v>
      </c>
      <c r="RK11" s="391">
        <v>70848979</v>
      </c>
      <c r="RL11" s="391">
        <v>53333</v>
      </c>
      <c r="RM11" s="391">
        <v>59173</v>
      </c>
      <c r="RN11" s="96">
        <v>58662</v>
      </c>
      <c r="RO11" s="96">
        <v>49953</v>
      </c>
      <c r="RP11" s="96">
        <v>3656220</v>
      </c>
      <c r="RQ11" s="96">
        <v>3477</v>
      </c>
      <c r="RR11" s="96">
        <v>2131105</v>
      </c>
      <c r="RS11" s="96">
        <v>2343602</v>
      </c>
      <c r="RT11" s="96">
        <v>489688</v>
      </c>
      <c r="RU11" s="96">
        <v>376569</v>
      </c>
      <c r="RV11" s="96"/>
      <c r="RW11" s="96"/>
      <c r="RX11" s="96">
        <v>110312</v>
      </c>
      <c r="RY11" s="96">
        <v>110312</v>
      </c>
      <c r="RZ11" s="96"/>
      <c r="SA11" s="96"/>
      <c r="SB11" s="96"/>
      <c r="SC11" s="96"/>
      <c r="SD11" s="96"/>
      <c r="SE11" s="96"/>
      <c r="SF11" s="96"/>
      <c r="SG11" s="96">
        <v>7000</v>
      </c>
      <c r="SH11" s="96">
        <v>450000</v>
      </c>
      <c r="SI11" s="96">
        <v>417000</v>
      </c>
      <c r="SJ11" s="96"/>
      <c r="SK11" s="96"/>
      <c r="SL11" s="96">
        <v>0</v>
      </c>
      <c r="SM11" s="96"/>
      <c r="SN11" s="96"/>
      <c r="SO11" s="96">
        <v>515331</v>
      </c>
      <c r="SP11" s="96">
        <v>23328</v>
      </c>
      <c r="SQ11" s="96"/>
      <c r="SR11" s="96">
        <v>2590788</v>
      </c>
      <c r="SS11" s="96">
        <v>2709795</v>
      </c>
      <c r="ST11" s="96">
        <v>77100</v>
      </c>
      <c r="SU11" s="96"/>
      <c r="SV11" s="96"/>
      <c r="SW11" s="96"/>
      <c r="SX11" s="96">
        <v>912304</v>
      </c>
      <c r="SY11" s="96">
        <v>136668</v>
      </c>
      <c r="SZ11" s="96">
        <v>686909</v>
      </c>
      <c r="TA11" s="96">
        <v>1279158</v>
      </c>
      <c r="TB11" s="96">
        <v>0</v>
      </c>
      <c r="TC11" s="96"/>
      <c r="TD11" s="96">
        <v>267889</v>
      </c>
      <c r="TE11" s="96">
        <v>267889</v>
      </c>
      <c r="TF11" s="96"/>
      <c r="TG11" s="96"/>
      <c r="TH11" s="96"/>
      <c r="TI11" s="96"/>
      <c r="TJ11" s="96"/>
      <c r="TK11" s="96"/>
      <c r="TL11" s="96">
        <v>14512</v>
      </c>
      <c r="TM11" s="96">
        <v>10093</v>
      </c>
      <c r="TN11" s="96"/>
      <c r="TO11" s="96"/>
      <c r="TP11" s="96"/>
      <c r="TQ11" s="96"/>
      <c r="TR11" s="96">
        <v>58314621</v>
      </c>
      <c r="TS11" s="96">
        <v>50333876</v>
      </c>
      <c r="TT11" s="96">
        <v>1415764</v>
      </c>
      <c r="TU11" s="96">
        <v>904035</v>
      </c>
      <c r="TV11" s="96"/>
      <c r="TW11" s="96"/>
      <c r="TX11" s="96">
        <v>88000</v>
      </c>
      <c r="TY11" s="96">
        <v>88000</v>
      </c>
      <c r="TZ11" s="96">
        <v>1677885</v>
      </c>
      <c r="UA11" s="96">
        <v>787003</v>
      </c>
      <c r="UB11" s="96">
        <v>0</v>
      </c>
      <c r="UC11" s="96"/>
      <c r="UD11" s="96">
        <v>63430000</v>
      </c>
      <c r="UE11" s="96">
        <v>52686000</v>
      </c>
      <c r="UF11" s="96"/>
      <c r="UG11" s="96"/>
      <c r="UH11" s="96">
        <v>166961</v>
      </c>
      <c r="UI11" s="96">
        <v>192991</v>
      </c>
      <c r="UJ11" s="96">
        <v>4942449</v>
      </c>
      <c r="UK11" s="96">
        <v>4809482</v>
      </c>
      <c r="UL11" s="96"/>
      <c r="UM11" s="96"/>
      <c r="UN11" s="96"/>
      <c r="UO11" s="96"/>
      <c r="UP11" s="96">
        <v>1216052</v>
      </c>
      <c r="UQ11" s="96">
        <v>1044796</v>
      </c>
      <c r="UR11" s="96">
        <v>5063124</v>
      </c>
      <c r="US11" s="96">
        <v>1038590</v>
      </c>
      <c r="UT11" s="96">
        <v>466667</v>
      </c>
      <c r="UU11" s="96"/>
      <c r="UV11" s="96">
        <v>11692918</v>
      </c>
      <c r="UW11" s="96">
        <v>717457</v>
      </c>
      <c r="UX11" s="96">
        <v>3471617</v>
      </c>
      <c r="UY11" s="96">
        <v>3101530</v>
      </c>
      <c r="UZ11" s="96">
        <v>328563</v>
      </c>
      <c r="VA11" s="96">
        <v>315105</v>
      </c>
      <c r="VB11" s="96"/>
      <c r="VC11" s="96">
        <v>4677619</v>
      </c>
      <c r="VD11" s="96">
        <v>1049534</v>
      </c>
      <c r="VE11" s="96">
        <v>2037853</v>
      </c>
      <c r="VF11" s="96"/>
      <c r="VG11" s="96"/>
      <c r="VH11" s="96">
        <v>0</v>
      </c>
      <c r="VI11" s="96"/>
      <c r="VJ11" s="96"/>
      <c r="VK11" s="96"/>
      <c r="VL11" s="96"/>
      <c r="VM11" s="96">
        <v>9430</v>
      </c>
      <c r="VN11" s="96">
        <v>591874</v>
      </c>
      <c r="VO11" s="96"/>
      <c r="VP11" s="96">
        <v>70848979</v>
      </c>
      <c r="VQ11" s="96">
        <v>109792467</v>
      </c>
      <c r="VR11" s="96">
        <v>59173</v>
      </c>
      <c r="VS11" s="96">
        <v>59672</v>
      </c>
      <c r="VT11" s="96">
        <v>49953</v>
      </c>
      <c r="VU11" s="96">
        <v>50688</v>
      </c>
      <c r="VV11" s="96"/>
      <c r="VW11" s="96">
        <v>6726</v>
      </c>
      <c r="VX11" s="96">
        <v>2343602</v>
      </c>
      <c r="VY11" s="96">
        <v>2331886</v>
      </c>
      <c r="VZ11" s="96">
        <v>376569</v>
      </c>
      <c r="WA11" s="96">
        <v>183585</v>
      </c>
      <c r="WB11" s="96"/>
      <c r="WC11" s="96">
        <v>84775</v>
      </c>
      <c r="WD11" s="96">
        <v>110312</v>
      </c>
      <c r="WE11" s="96"/>
      <c r="WF11" s="96"/>
      <c r="WG11" s="96"/>
      <c r="WH11" s="96"/>
      <c r="WI11" s="96"/>
      <c r="WJ11" s="96"/>
      <c r="WK11" s="96"/>
      <c r="WL11" s="96">
        <v>7000</v>
      </c>
      <c r="WM11" s="96"/>
      <c r="WN11" s="96">
        <v>417000</v>
      </c>
      <c r="WO11" s="96">
        <v>656701</v>
      </c>
      <c r="WP11" s="96"/>
      <c r="WQ11" s="96"/>
      <c r="WR11" s="96"/>
      <c r="WS11" s="96"/>
      <c r="WT11" s="96">
        <v>515331</v>
      </c>
      <c r="WU11" s="96">
        <v>428344</v>
      </c>
      <c r="WV11" s="96"/>
      <c r="WW11" s="96">
        <v>42514</v>
      </c>
      <c r="WX11" s="96">
        <v>2709795</v>
      </c>
      <c r="WY11" s="96"/>
      <c r="WZ11" s="96"/>
      <c r="XA11" s="96"/>
      <c r="XB11" s="96"/>
      <c r="XC11" s="96"/>
      <c r="XD11" s="96"/>
      <c r="XE11" s="96">
        <v>1010896</v>
      </c>
      <c r="XF11" s="96">
        <v>1279158</v>
      </c>
      <c r="XG11" s="96">
        <v>1062379</v>
      </c>
      <c r="XH11" s="96">
        <v>55717</v>
      </c>
      <c r="XI11" s="96">
        <v>156468</v>
      </c>
      <c r="XJ11" s="96">
        <v>267889</v>
      </c>
      <c r="XK11" s="96">
        <v>48319</v>
      </c>
      <c r="XL11" s="96"/>
      <c r="XM11" s="96"/>
      <c r="XN11" s="96"/>
      <c r="XO11" s="96"/>
      <c r="XP11" s="96"/>
      <c r="XQ11" s="96"/>
      <c r="XR11" s="96">
        <v>10093</v>
      </c>
      <c r="XS11" s="96">
        <v>9051</v>
      </c>
      <c r="XT11" s="96"/>
      <c r="XU11" s="96"/>
      <c r="XV11" s="96">
        <v>936930</v>
      </c>
      <c r="XW11" s="96">
        <v>896168</v>
      </c>
      <c r="XX11" s="96">
        <v>50333876</v>
      </c>
      <c r="XY11" s="96">
        <v>52696232</v>
      </c>
      <c r="XZ11" s="96">
        <v>1271394</v>
      </c>
      <c r="YA11" s="96">
        <v>3420629</v>
      </c>
      <c r="YB11" s="96"/>
      <c r="YC11" s="96"/>
      <c r="YD11" s="96">
        <v>584597</v>
      </c>
      <c r="YE11" s="96">
        <v>787908</v>
      </c>
      <c r="YF11" s="96">
        <v>787003</v>
      </c>
      <c r="YG11" s="96">
        <v>1359328</v>
      </c>
      <c r="YH11" s="96"/>
      <c r="YI11" s="96"/>
      <c r="YJ11" s="96">
        <v>52686000</v>
      </c>
      <c r="YK11" s="96"/>
      <c r="YL11" s="96">
        <v>33902000</v>
      </c>
      <c r="YM11" s="96">
        <v>20855000</v>
      </c>
      <c r="YN11" s="96">
        <v>192991</v>
      </c>
      <c r="YO11" s="96">
        <v>406701</v>
      </c>
      <c r="YP11" s="96">
        <v>4809482</v>
      </c>
      <c r="YQ11" s="96">
        <v>4612786</v>
      </c>
      <c r="YR11" s="96"/>
      <c r="YS11" s="96"/>
      <c r="YT11" s="96"/>
      <c r="YU11" s="96">
        <v>19776</v>
      </c>
      <c r="YV11" s="96">
        <v>1044796</v>
      </c>
      <c r="YW11" s="96">
        <v>590013</v>
      </c>
      <c r="YX11" s="96">
        <v>1038590</v>
      </c>
      <c r="YY11" s="96">
        <v>6059331</v>
      </c>
      <c r="YZ11" s="96"/>
      <c r="ZA11" s="96"/>
      <c r="ZB11" s="96">
        <v>717457</v>
      </c>
      <c r="ZC11" s="96">
        <v>11927998</v>
      </c>
      <c r="ZD11" s="96">
        <v>3101530</v>
      </c>
      <c r="ZE11" s="96">
        <v>3083250</v>
      </c>
      <c r="ZF11" s="96">
        <v>315105</v>
      </c>
      <c r="ZG11" s="96">
        <v>322034</v>
      </c>
      <c r="ZH11" s="96">
        <v>4677619</v>
      </c>
      <c r="ZI11" s="96">
        <v>10774077</v>
      </c>
      <c r="ZJ11" s="96">
        <v>2037853</v>
      </c>
      <c r="ZK11" s="96">
        <v>1922859</v>
      </c>
      <c r="ZL11" s="96"/>
      <c r="ZM11" s="96"/>
      <c r="ZN11" s="96"/>
      <c r="ZO11" s="96"/>
      <c r="ZP11" s="96"/>
      <c r="ZQ11" s="96"/>
      <c r="ZR11" s="96">
        <v>9430</v>
      </c>
      <c r="ZS11" s="96">
        <v>3565</v>
      </c>
      <c r="ZT11" s="96"/>
      <c r="ZU11" s="96"/>
      <c r="ZV11" s="96">
        <v>109792467</v>
      </c>
      <c r="ZW11" s="96">
        <v>122098614</v>
      </c>
      <c r="ZX11" s="96">
        <v>51957</v>
      </c>
      <c r="ZY11" s="96">
        <v>83340</v>
      </c>
      <c r="ZZ11" s="737">
        <v>3581</v>
      </c>
      <c r="AAA11" s="737">
        <v>3731</v>
      </c>
      <c r="AAB11" s="737">
        <v>9202</v>
      </c>
      <c r="AAC11" s="737">
        <v>27389</v>
      </c>
      <c r="AAD11" s="737">
        <v>0</v>
      </c>
      <c r="AAE11" s="737">
        <v>0</v>
      </c>
      <c r="AAF11" s="737">
        <v>0</v>
      </c>
      <c r="AAG11" s="737">
        <v>0</v>
      </c>
      <c r="AAH11" s="737">
        <v>12000</v>
      </c>
      <c r="AAI11" s="737">
        <v>2572</v>
      </c>
      <c r="AAJ11" s="737">
        <v>0</v>
      </c>
      <c r="AAK11" s="737">
        <v>0</v>
      </c>
      <c r="AAL11" s="737">
        <v>0</v>
      </c>
      <c r="AAM11" s="737">
        <v>0</v>
      </c>
      <c r="AAN11" s="737">
        <v>1867145</v>
      </c>
      <c r="AAO11" s="737">
        <v>2700812</v>
      </c>
      <c r="AAP11" s="737">
        <v>517816</v>
      </c>
      <c r="AAQ11" s="737">
        <v>517816</v>
      </c>
      <c r="AAR11" s="737">
        <v>0</v>
      </c>
      <c r="AAS11" s="737">
        <v>603754</v>
      </c>
      <c r="AAT11" s="738"/>
      <c r="AAU11" s="754">
        <v>259416</v>
      </c>
      <c r="AAV11" s="741">
        <v>0</v>
      </c>
      <c r="AAW11" s="741">
        <v>0</v>
      </c>
      <c r="AAX11" s="737">
        <v>169896</v>
      </c>
      <c r="AAY11" s="737">
        <v>252313</v>
      </c>
      <c r="AAZ11" s="737"/>
      <c r="ABA11" s="737">
        <v>0</v>
      </c>
      <c r="ABB11" s="737">
        <v>0</v>
      </c>
      <c r="ABC11" s="737">
        <v>0</v>
      </c>
      <c r="ABD11" s="737">
        <v>6325</v>
      </c>
      <c r="ABE11" s="739">
        <v>5686</v>
      </c>
      <c r="ABF11" s="739">
        <v>0</v>
      </c>
      <c r="ABG11" s="739">
        <v>0</v>
      </c>
      <c r="ABH11" s="738">
        <v>329354</v>
      </c>
      <c r="ABI11" s="737">
        <v>1441459</v>
      </c>
      <c r="ABJ11" s="737">
        <v>69245774</v>
      </c>
      <c r="ABK11" s="737">
        <v>59247552</v>
      </c>
      <c r="ABL11" s="737">
        <v>1884561</v>
      </c>
      <c r="ABM11" s="741">
        <v>1666332</v>
      </c>
      <c r="ABN11" s="737">
        <v>30000</v>
      </c>
      <c r="ABO11" s="737">
        <v>107750</v>
      </c>
      <c r="ABP11" s="737">
        <v>29350</v>
      </c>
      <c r="ABQ11" s="737">
        <v>959364</v>
      </c>
      <c r="ABR11" s="737">
        <v>135792052</v>
      </c>
      <c r="ABS11" s="737">
        <v>40644962</v>
      </c>
      <c r="ABT11" s="737">
        <v>0</v>
      </c>
      <c r="ABU11" s="737">
        <v>0</v>
      </c>
      <c r="ABV11" s="737">
        <v>71154000</v>
      </c>
      <c r="ABW11" s="737">
        <v>138800000</v>
      </c>
      <c r="ABX11" s="737">
        <v>29786</v>
      </c>
      <c r="ABY11" s="737">
        <v>64648</v>
      </c>
      <c r="ABZ11" s="737">
        <v>9793928</v>
      </c>
      <c r="ACA11" s="737">
        <v>10917559</v>
      </c>
      <c r="ACB11" s="737">
        <v>2098795</v>
      </c>
      <c r="ACC11" s="737">
        <v>2826410</v>
      </c>
      <c r="ACD11" s="737">
        <v>0</v>
      </c>
      <c r="ACE11" s="737">
        <v>0</v>
      </c>
      <c r="ACF11" s="737">
        <v>287514</v>
      </c>
      <c r="ACG11" s="737">
        <v>687211</v>
      </c>
      <c r="ACH11" s="737">
        <v>12736920</v>
      </c>
      <c r="ACI11" s="737">
        <v>12060233</v>
      </c>
      <c r="ACJ11" s="737">
        <v>0</v>
      </c>
      <c r="ACK11" s="737">
        <v>0</v>
      </c>
      <c r="ACL11" s="737">
        <v>4944009</v>
      </c>
      <c r="ACM11" s="737">
        <v>7448980</v>
      </c>
      <c r="ACN11" s="737">
        <v>309720</v>
      </c>
      <c r="ACO11" s="737">
        <v>310817</v>
      </c>
      <c r="ACP11" s="737">
        <v>13506694</v>
      </c>
      <c r="ACQ11" s="743">
        <v>15148154</v>
      </c>
      <c r="ACR11" s="743">
        <v>641343</v>
      </c>
      <c r="ACS11" s="743">
        <v>308496</v>
      </c>
      <c r="ACT11" s="737">
        <v>0</v>
      </c>
      <c r="ACU11" s="737">
        <v>0</v>
      </c>
      <c r="ACV11" s="737">
        <v>0</v>
      </c>
      <c r="ACW11" s="737">
        <v>0</v>
      </c>
      <c r="ACX11" s="737">
        <v>194721239</v>
      </c>
      <c r="ACY11" s="737">
        <v>211930285</v>
      </c>
      <c r="ACZ11" s="614">
        <v>0</v>
      </c>
      <c r="ADA11" s="614">
        <v>0</v>
      </c>
      <c r="ADB11" s="614">
        <v>453200</v>
      </c>
      <c r="ADC11" s="614">
        <v>501002</v>
      </c>
      <c r="ADD11" s="763">
        <v>2374421806</v>
      </c>
      <c r="ADE11" s="763">
        <v>3009487841</v>
      </c>
      <c r="ADF11" s="763">
        <v>0</v>
      </c>
      <c r="ADG11" s="763">
        <v>0</v>
      </c>
      <c r="ADH11" s="614"/>
      <c r="ADI11" s="614"/>
      <c r="ADJ11" s="763">
        <v>435816000</v>
      </c>
      <c r="ADK11" s="763">
        <v>385600000</v>
      </c>
      <c r="ADL11" s="614"/>
      <c r="ADM11" s="614"/>
      <c r="ADN11" s="763"/>
      <c r="ADO11" s="763"/>
      <c r="ADP11" s="763">
        <v>510025773</v>
      </c>
      <c r="ADQ11" s="763">
        <v>489040342</v>
      </c>
      <c r="ADR11" s="763"/>
      <c r="ADS11" s="763"/>
      <c r="ADT11" s="763">
        <v>281658000</v>
      </c>
      <c r="ADU11" s="763">
        <v>76656073</v>
      </c>
      <c r="ADV11" s="763">
        <v>180109227</v>
      </c>
      <c r="ADW11" s="763">
        <v>913960000</v>
      </c>
      <c r="ADX11" s="763">
        <v>0</v>
      </c>
      <c r="ADY11" s="763">
        <v>110576000</v>
      </c>
      <c r="ADZ11" s="763">
        <v>1326691999.29</v>
      </c>
      <c r="AEA11" s="763">
        <v>975088278</v>
      </c>
      <c r="AEB11" s="763">
        <v>754698624</v>
      </c>
      <c r="AEC11" s="763">
        <v>738220129</v>
      </c>
      <c r="AED11" s="763">
        <v>9556737</v>
      </c>
      <c r="AEE11" s="763">
        <v>15336418</v>
      </c>
      <c r="AEF11" s="763">
        <v>36114342</v>
      </c>
      <c r="AEG11" s="763">
        <v>4141828970</v>
      </c>
      <c r="AEH11" s="763">
        <v>62776468</v>
      </c>
      <c r="AEI11" s="763">
        <v>65097563</v>
      </c>
      <c r="AEJ11" s="763">
        <v>659301057</v>
      </c>
      <c r="AEK11" s="763">
        <v>1593550377</v>
      </c>
      <c r="AEL11" s="763"/>
      <c r="AEM11" s="763">
        <v>64738852</v>
      </c>
      <c r="AEN11" s="614">
        <v>1287762</v>
      </c>
      <c r="AEO11" s="614">
        <v>402332</v>
      </c>
      <c r="AEP11" s="763">
        <v>17979898529</v>
      </c>
      <c r="AEQ11" s="763">
        <v>5989537967</v>
      </c>
      <c r="AER11" s="614"/>
      <c r="AES11" s="614"/>
      <c r="AET11" s="614"/>
      <c r="AEU11" s="614"/>
      <c r="AEV11" s="614">
        <v>148393000</v>
      </c>
      <c r="AEW11" s="614">
        <v>151062000</v>
      </c>
      <c r="AEX11" s="763">
        <v>22387643</v>
      </c>
      <c r="AEY11" s="763">
        <v>18726263</v>
      </c>
      <c r="AEZ11" s="614"/>
      <c r="AFA11" s="614"/>
      <c r="AFB11" s="763">
        <v>9903261396</v>
      </c>
      <c r="AFC11" s="763">
        <v>9744676189</v>
      </c>
      <c r="AFD11" s="763"/>
      <c r="AFE11" s="763"/>
      <c r="AFF11" s="763">
        <v>837203668</v>
      </c>
      <c r="AFG11" s="763">
        <v>857884966</v>
      </c>
      <c r="AFH11" s="763">
        <v>1421249040</v>
      </c>
      <c r="AFI11" s="763">
        <v>671835369</v>
      </c>
      <c r="AFJ11" s="763">
        <v>5994970320</v>
      </c>
      <c r="AFK11" s="763">
        <v>7349472340</v>
      </c>
      <c r="AFL11" s="614">
        <v>136331</v>
      </c>
      <c r="AFM11" s="614">
        <v>136331</v>
      </c>
      <c r="AFN11" s="614">
        <v>17990296</v>
      </c>
      <c r="AFO11" s="614">
        <v>20292958</v>
      </c>
      <c r="AFP11" s="763">
        <v>10979179468</v>
      </c>
      <c r="AFQ11" s="763">
        <v>15372105766</v>
      </c>
      <c r="AFR11" s="614">
        <v>130724607</v>
      </c>
      <c r="AFS11" s="614">
        <v>130724607</v>
      </c>
      <c r="AFT11" s="763">
        <v>6018520000</v>
      </c>
      <c r="AFU11" s="763">
        <v>2517845770</v>
      </c>
      <c r="AFV11" s="614"/>
      <c r="AFW11" s="614"/>
      <c r="AFX11" s="763">
        <v>186038156273</v>
      </c>
      <c r="AFY11" s="763">
        <v>189823244519</v>
      </c>
      <c r="AFZ11" s="764" t="s">
        <v>224</v>
      </c>
      <c r="AGA11" s="764" t="s">
        <v>224</v>
      </c>
      <c r="AGB11" s="638">
        <v>9744676188</v>
      </c>
      <c r="AGC11" s="638">
        <v>4426364338</v>
      </c>
      <c r="AGD11" s="638">
        <v>1593550377</v>
      </c>
      <c r="AGE11" s="638">
        <v>5030180034</v>
      </c>
      <c r="AGF11" s="638">
        <v>493276516</v>
      </c>
      <c r="AGG11" s="638">
        <v>250298125</v>
      </c>
      <c r="AGH11" s="638">
        <v>2205634</v>
      </c>
      <c r="AGI11" s="638">
        <v>5913383</v>
      </c>
      <c r="AGJ11" s="752">
        <v>2563908</v>
      </c>
      <c r="AGK11" s="752">
        <v>2601794</v>
      </c>
      <c r="AGL11" s="638">
        <v>738220129</v>
      </c>
      <c r="AGM11" s="638">
        <v>235087539</v>
      </c>
      <c r="AGN11" s="638">
        <v>5989537967</v>
      </c>
      <c r="AGO11" s="638">
        <v>44328356491</v>
      </c>
      <c r="AGP11" s="638">
        <v>493276516</v>
      </c>
      <c r="AGQ11" s="638">
        <v>250298125</v>
      </c>
      <c r="AGR11" s="638">
        <v>640104484</v>
      </c>
      <c r="AGS11" s="638">
        <v>675649302</v>
      </c>
      <c r="AGT11" s="638">
        <v>136331000</v>
      </c>
      <c r="AGU11" s="638">
        <v>48738000</v>
      </c>
      <c r="AGV11" s="638">
        <v>2517845770</v>
      </c>
      <c r="AGW11" s="638">
        <v>211027977</v>
      </c>
      <c r="AGX11" s="644"/>
      <c r="AGY11" s="644"/>
      <c r="AGZ11" s="638">
        <v>300671431</v>
      </c>
      <c r="AHA11" s="638">
        <v>379173474</v>
      </c>
      <c r="AHB11" s="638">
        <v>77517773</v>
      </c>
      <c r="AHC11" s="638">
        <v>138070658</v>
      </c>
      <c r="AHD11" s="638">
        <v>64738856</v>
      </c>
      <c r="AHE11" s="638">
        <v>60466669</v>
      </c>
      <c r="AHF11" s="638">
        <v>15401305000</v>
      </c>
      <c r="AHG11" s="638">
        <v>11116377000</v>
      </c>
      <c r="AHH11" s="638">
        <v>4141828970</v>
      </c>
      <c r="AHI11" s="638">
        <v>5452847934</v>
      </c>
      <c r="AHJ11" s="638">
        <v>110576000</v>
      </c>
      <c r="AHK11" s="638">
        <v>99999000</v>
      </c>
      <c r="AHL11" s="638">
        <v>7520000</v>
      </c>
      <c r="AHM11" s="638">
        <v>36000</v>
      </c>
      <c r="AHN11" s="638">
        <v>671835369</v>
      </c>
      <c r="AHO11" s="638">
        <v>812723169</v>
      </c>
      <c r="AHP11" s="638">
        <v>501002000</v>
      </c>
      <c r="AHQ11" s="638">
        <v>2482537200</v>
      </c>
      <c r="AHR11" s="644"/>
      <c r="AHS11" s="644"/>
      <c r="AHT11" s="638">
        <v>31501524</v>
      </c>
      <c r="AHU11" s="638">
        <v>5600477</v>
      </c>
      <c r="AHV11" s="638">
        <v>385600000</v>
      </c>
      <c r="AHW11" s="638">
        <v>325600000</v>
      </c>
      <c r="AHX11" s="638">
        <v>3009487841</v>
      </c>
      <c r="AHY11" s="638">
        <v>2707225874</v>
      </c>
      <c r="AHZ11" s="638">
        <v>857884965</v>
      </c>
      <c r="AIA11" s="638">
        <v>477998720</v>
      </c>
      <c r="AIB11" s="644"/>
      <c r="AIC11" s="644"/>
      <c r="AID11" s="638">
        <v>151062000000</v>
      </c>
      <c r="AIE11" s="638">
        <v>107255000000</v>
      </c>
      <c r="AIF11" s="644"/>
      <c r="AIG11" s="644"/>
      <c r="AIH11" s="644"/>
      <c r="AII11" s="644"/>
      <c r="AIJ11" s="638">
        <v>15330837</v>
      </c>
      <c r="AIK11" s="638">
        <v>746559043</v>
      </c>
      <c r="AIL11" s="638">
        <v>2942730000</v>
      </c>
      <c r="AIM11" s="638">
        <v>1944123423</v>
      </c>
      <c r="AIN11" s="644"/>
      <c r="AIO11" s="644"/>
      <c r="AIP11" s="644"/>
      <c r="AIQ11" s="644"/>
      <c r="AIR11" s="637">
        <v>20292958000</v>
      </c>
      <c r="AIS11" s="637">
        <v>19025356000</v>
      </c>
      <c r="AIT11" s="637">
        <v>40000000</v>
      </c>
      <c r="AIU11" s="637">
        <v>5580000</v>
      </c>
      <c r="AIV11" s="637">
        <v>1206909829</v>
      </c>
      <c r="AIW11" s="637">
        <v>1094716121</v>
      </c>
      <c r="AIX11" s="638">
        <v>642836</v>
      </c>
      <c r="AIY11" s="638">
        <v>666946</v>
      </c>
      <c r="AIZ11" s="638">
        <v>450000000</v>
      </c>
      <c r="AJA11" s="638">
        <v>350000000</v>
      </c>
      <c r="AJB11" s="638">
        <v>65097563000</v>
      </c>
      <c r="AJC11" s="638">
        <v>61403627000</v>
      </c>
      <c r="AJD11" s="644"/>
      <c r="AJE11" s="644"/>
      <c r="AJF11" s="638">
        <v>151062000000</v>
      </c>
      <c r="AJG11" s="638">
        <v>107255000000</v>
      </c>
      <c r="AJH11" s="638">
        <v>18726263</v>
      </c>
      <c r="AJI11" s="638">
        <v>21879577</v>
      </c>
      <c r="AJJ11" s="638">
        <v>15372105766</v>
      </c>
      <c r="AJK11" s="638">
        <v>5603401670</v>
      </c>
      <c r="AJL11" s="638">
        <v>1643919737</v>
      </c>
      <c r="AJM11" s="638">
        <v>1643919738</v>
      </c>
      <c r="AJN11" s="638">
        <v>130724607</v>
      </c>
      <c r="AJO11" s="638">
        <v>1100330319</v>
      </c>
    </row>
    <row r="12" spans="1:951" x14ac:dyDescent="0.25">
      <c r="A12" s="91" t="s">
        <v>14</v>
      </c>
      <c r="B12" s="96">
        <v>0</v>
      </c>
      <c r="C12" s="96">
        <v>0</v>
      </c>
      <c r="D12" s="96">
        <v>0</v>
      </c>
      <c r="E12" s="96">
        <v>0</v>
      </c>
      <c r="F12" s="96"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/>
      <c r="P12" s="96"/>
      <c r="Q12" s="96">
        <v>0</v>
      </c>
      <c r="R12" s="96">
        <v>0</v>
      </c>
      <c r="S12" s="96">
        <v>0</v>
      </c>
      <c r="T12" s="96"/>
      <c r="U12" s="96"/>
      <c r="V12" s="96">
        <v>0</v>
      </c>
      <c r="W12" s="96">
        <v>0</v>
      </c>
      <c r="X12" s="96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6">
        <v>0</v>
      </c>
      <c r="AE12" s="96">
        <v>0</v>
      </c>
      <c r="AF12" s="96">
        <v>0</v>
      </c>
      <c r="AG12" s="96">
        <v>0</v>
      </c>
      <c r="AH12" s="96">
        <v>0</v>
      </c>
      <c r="AI12" s="96"/>
      <c r="AJ12" s="96"/>
      <c r="AK12" s="96">
        <v>0</v>
      </c>
      <c r="AL12" s="96">
        <v>0</v>
      </c>
      <c r="AM12" s="96">
        <v>0</v>
      </c>
      <c r="AN12" s="96"/>
      <c r="AO12" s="96"/>
      <c r="AP12" s="96">
        <v>0</v>
      </c>
      <c r="AQ12" s="96">
        <v>20526</v>
      </c>
      <c r="AR12" s="96">
        <v>19183</v>
      </c>
      <c r="AS12" s="96"/>
      <c r="AT12" s="96"/>
      <c r="AU12" s="96">
        <v>0</v>
      </c>
      <c r="AV12" s="96">
        <v>0</v>
      </c>
      <c r="AW12" s="96">
        <v>0</v>
      </c>
      <c r="AX12" s="96">
        <v>0</v>
      </c>
      <c r="AY12" s="96">
        <v>0</v>
      </c>
      <c r="AZ12" s="96">
        <v>0</v>
      </c>
      <c r="BA12" s="96">
        <v>0</v>
      </c>
      <c r="BB12" s="96">
        <v>0</v>
      </c>
      <c r="BC12" s="96">
        <v>0</v>
      </c>
      <c r="BD12" s="96">
        <v>0</v>
      </c>
      <c r="BE12" s="96">
        <v>0</v>
      </c>
      <c r="BF12" s="96">
        <v>0</v>
      </c>
      <c r="BG12" s="96">
        <v>0</v>
      </c>
      <c r="BH12" s="96">
        <v>0</v>
      </c>
      <c r="BI12" s="96">
        <v>0</v>
      </c>
      <c r="BJ12" s="96">
        <v>0</v>
      </c>
      <c r="BK12" s="96">
        <v>0</v>
      </c>
      <c r="BL12" s="96">
        <v>0</v>
      </c>
      <c r="BM12" s="96">
        <v>0</v>
      </c>
      <c r="BN12" s="96">
        <v>0</v>
      </c>
      <c r="BO12" s="96">
        <v>0</v>
      </c>
      <c r="BP12" s="96">
        <v>0</v>
      </c>
      <c r="BQ12" s="96">
        <v>0</v>
      </c>
      <c r="BR12" s="96">
        <v>0</v>
      </c>
      <c r="BS12" s="96">
        <v>0</v>
      </c>
      <c r="BT12" s="96">
        <v>0</v>
      </c>
      <c r="BU12" s="96">
        <v>0</v>
      </c>
      <c r="BV12" s="96">
        <v>0</v>
      </c>
      <c r="BW12" s="96">
        <v>0</v>
      </c>
      <c r="BX12" s="96">
        <v>0</v>
      </c>
      <c r="BY12" s="96">
        <v>0</v>
      </c>
      <c r="BZ12" s="96">
        <v>515224.58</v>
      </c>
      <c r="CA12" s="96">
        <v>90200.249000000011</v>
      </c>
      <c r="CB12" s="96">
        <v>44632</v>
      </c>
      <c r="CC12" s="96">
        <v>34429</v>
      </c>
      <c r="CD12" s="96">
        <v>0</v>
      </c>
      <c r="CE12" s="96">
        <v>0</v>
      </c>
      <c r="CF12" s="96">
        <v>2471.6190000000001</v>
      </c>
      <c r="CG12" s="96"/>
      <c r="CH12" s="96"/>
      <c r="CI12" s="96">
        <v>0</v>
      </c>
      <c r="CJ12" s="96">
        <v>0</v>
      </c>
      <c r="CK12" s="96">
        <v>0</v>
      </c>
      <c r="CL12" s="96">
        <v>0</v>
      </c>
      <c r="CM12" s="96">
        <v>0</v>
      </c>
      <c r="CN12" s="96">
        <v>0</v>
      </c>
      <c r="CO12" s="96">
        <v>4618.58</v>
      </c>
      <c r="CP12" s="96">
        <v>20206.688999999998</v>
      </c>
      <c r="CQ12" s="96"/>
      <c r="CR12" s="96"/>
      <c r="CS12" s="96">
        <v>0</v>
      </c>
      <c r="CT12" s="96">
        <v>0</v>
      </c>
      <c r="CU12" s="96">
        <v>0</v>
      </c>
      <c r="CV12" s="96">
        <v>0</v>
      </c>
      <c r="CW12" s="96">
        <v>0</v>
      </c>
      <c r="CX12" s="96">
        <v>0</v>
      </c>
      <c r="CY12" s="96">
        <v>0</v>
      </c>
      <c r="CZ12" s="96">
        <v>0</v>
      </c>
      <c r="DA12" s="96"/>
      <c r="DB12" s="96"/>
      <c r="DC12" s="96">
        <v>0</v>
      </c>
      <c r="DD12" s="96">
        <v>0</v>
      </c>
      <c r="DE12" s="96">
        <v>0</v>
      </c>
      <c r="DF12" s="96">
        <v>0</v>
      </c>
      <c r="DG12" s="96">
        <v>0</v>
      </c>
      <c r="DH12" s="96">
        <v>0</v>
      </c>
      <c r="DI12" s="96">
        <v>0</v>
      </c>
      <c r="DJ12" s="96">
        <v>0</v>
      </c>
      <c r="DK12" s="96"/>
      <c r="DL12" s="96"/>
      <c r="DM12" s="102">
        <v>0</v>
      </c>
      <c r="DN12" s="96">
        <v>0</v>
      </c>
      <c r="DO12" s="96">
        <v>0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6">
        <v>0</v>
      </c>
      <c r="DW12" s="96">
        <v>0</v>
      </c>
      <c r="DX12" s="96">
        <v>0</v>
      </c>
      <c r="DY12" s="96">
        <v>0</v>
      </c>
      <c r="DZ12" s="96">
        <v>0</v>
      </c>
      <c r="EA12" s="96">
        <v>0</v>
      </c>
      <c r="EB12" s="96"/>
      <c r="EC12" s="96"/>
      <c r="ED12" s="96"/>
      <c r="EE12" s="96"/>
      <c r="EF12" s="96">
        <v>0</v>
      </c>
      <c r="EG12" s="96"/>
      <c r="EH12" s="96"/>
      <c r="EI12" s="96"/>
      <c r="EJ12" s="96">
        <v>144307</v>
      </c>
      <c r="EK12" s="96">
        <v>47551</v>
      </c>
      <c r="EL12" s="96"/>
      <c r="EM12" s="96"/>
      <c r="EN12" s="96"/>
      <c r="EO12" s="96"/>
      <c r="EP12" s="96">
        <v>0</v>
      </c>
      <c r="EQ12" s="96"/>
      <c r="ER12" s="96"/>
      <c r="ES12" s="96"/>
      <c r="ET12" s="96"/>
      <c r="EU12" s="96">
        <v>0</v>
      </c>
      <c r="EV12" s="96">
        <v>0</v>
      </c>
      <c r="EW12" s="96">
        <v>0</v>
      </c>
      <c r="EX12" s="96"/>
      <c r="EY12" s="96"/>
      <c r="EZ12" s="96"/>
      <c r="FA12" s="96">
        <v>0</v>
      </c>
      <c r="FB12" s="96">
        <v>0</v>
      </c>
      <c r="FC12" s="96">
        <v>0</v>
      </c>
      <c r="FD12" s="96"/>
      <c r="FE12" s="96">
        <v>0</v>
      </c>
      <c r="FF12" s="96"/>
      <c r="FG12" s="96">
        <v>0</v>
      </c>
      <c r="FH12" s="96"/>
      <c r="FI12" s="96"/>
      <c r="FJ12" s="96"/>
      <c r="FK12" s="96"/>
      <c r="FL12" s="96"/>
      <c r="FM12" s="96"/>
      <c r="FN12" s="96">
        <v>0</v>
      </c>
      <c r="FO12" s="96">
        <v>0</v>
      </c>
      <c r="FP12" s="96">
        <v>0</v>
      </c>
      <c r="FQ12" s="96">
        <v>0</v>
      </c>
      <c r="FR12" s="96">
        <v>0</v>
      </c>
      <c r="FS12" s="96">
        <v>0</v>
      </c>
      <c r="FT12" s="96">
        <v>0</v>
      </c>
      <c r="FU12" s="96">
        <v>0</v>
      </c>
      <c r="FV12" s="96">
        <v>34429</v>
      </c>
      <c r="FW12" s="96">
        <v>144818</v>
      </c>
      <c r="FX12" s="96">
        <v>0</v>
      </c>
      <c r="FY12" s="96"/>
      <c r="FZ12" s="96">
        <v>0</v>
      </c>
      <c r="GA12" s="96">
        <v>0</v>
      </c>
      <c r="GB12" s="96">
        <v>0</v>
      </c>
      <c r="GC12" s="96">
        <v>0</v>
      </c>
      <c r="GD12" s="96"/>
      <c r="GE12" s="96">
        <v>0</v>
      </c>
      <c r="GF12" s="96"/>
      <c r="GG12" s="96"/>
      <c r="GH12" s="96"/>
      <c r="GI12" s="96">
        <v>32054</v>
      </c>
      <c r="GJ12" s="96">
        <v>0</v>
      </c>
      <c r="GK12" s="96">
        <v>0</v>
      </c>
      <c r="GL12" s="96">
        <v>0</v>
      </c>
      <c r="GM12" s="96">
        <v>0</v>
      </c>
      <c r="GN12" s="96"/>
      <c r="GO12" s="96">
        <v>372327</v>
      </c>
      <c r="GP12" s="96">
        <v>0</v>
      </c>
      <c r="GQ12" s="96">
        <v>0</v>
      </c>
      <c r="GR12" s="96"/>
      <c r="GS12" s="96"/>
      <c r="GT12" s="96"/>
      <c r="GU12" s="96">
        <v>0</v>
      </c>
      <c r="GV12" s="96"/>
      <c r="GW12" s="96"/>
      <c r="GX12" s="96">
        <v>0</v>
      </c>
      <c r="GY12" s="96">
        <v>0</v>
      </c>
      <c r="GZ12" s="96">
        <v>928279</v>
      </c>
      <c r="HA12" s="96"/>
      <c r="HB12" s="96"/>
      <c r="HC12" s="96">
        <v>88909</v>
      </c>
      <c r="HD12" s="96">
        <v>0</v>
      </c>
      <c r="HE12" s="96">
        <v>0</v>
      </c>
      <c r="HF12" s="96">
        <v>0</v>
      </c>
      <c r="HG12" s="96">
        <v>0</v>
      </c>
      <c r="HH12" s="96">
        <v>0</v>
      </c>
      <c r="HI12" s="96">
        <v>0</v>
      </c>
      <c r="HJ12" s="96">
        <v>0</v>
      </c>
      <c r="HK12" s="96">
        <v>0</v>
      </c>
      <c r="HL12" s="96"/>
      <c r="HM12" s="96"/>
      <c r="HN12" s="96">
        <v>0</v>
      </c>
      <c r="HO12" s="96">
        <v>0</v>
      </c>
      <c r="HP12" s="96"/>
      <c r="HQ12" s="96"/>
      <c r="HR12" s="96">
        <v>0</v>
      </c>
      <c r="HS12" s="96">
        <v>0</v>
      </c>
      <c r="HT12" s="96">
        <v>47551</v>
      </c>
      <c r="HU12" s="96"/>
      <c r="HV12" s="96">
        <v>0</v>
      </c>
      <c r="HW12" s="96"/>
      <c r="HX12" s="96">
        <v>0</v>
      </c>
      <c r="HY12" s="96">
        <v>0</v>
      </c>
      <c r="HZ12" s="96">
        <v>0</v>
      </c>
      <c r="IA12" s="96">
        <v>0</v>
      </c>
      <c r="IB12" s="96"/>
      <c r="IC12" s="96">
        <v>0</v>
      </c>
      <c r="ID12" s="96">
        <v>0</v>
      </c>
      <c r="IE12" s="96">
        <v>0</v>
      </c>
      <c r="IF12" s="96">
        <v>0</v>
      </c>
      <c r="IG12" s="96">
        <v>0</v>
      </c>
      <c r="IH12" s="96">
        <v>0</v>
      </c>
      <c r="II12" s="96">
        <v>0</v>
      </c>
      <c r="IJ12" s="96">
        <v>0</v>
      </c>
      <c r="IK12" s="96"/>
      <c r="IL12" s="96">
        <v>0</v>
      </c>
      <c r="IM12" s="96"/>
      <c r="IN12" s="96"/>
      <c r="IO12" s="96"/>
      <c r="IP12" s="96"/>
      <c r="IQ12" s="96">
        <v>0</v>
      </c>
      <c r="IR12" s="96">
        <v>0</v>
      </c>
      <c r="IS12" s="96">
        <v>0</v>
      </c>
      <c r="IT12" s="96"/>
      <c r="IU12" s="96">
        <v>0</v>
      </c>
      <c r="IV12" s="96">
        <v>0</v>
      </c>
      <c r="IW12" s="96">
        <v>0</v>
      </c>
      <c r="IX12" s="96">
        <v>0</v>
      </c>
      <c r="IY12" s="96">
        <v>0</v>
      </c>
      <c r="IZ12" s="96">
        <v>0</v>
      </c>
      <c r="JA12" s="96">
        <v>0</v>
      </c>
      <c r="JB12" s="96">
        <v>0</v>
      </c>
      <c r="JC12" s="96">
        <v>0</v>
      </c>
      <c r="JD12" s="96"/>
      <c r="JE12" s="96"/>
      <c r="JF12" s="96">
        <v>0</v>
      </c>
      <c r="JG12" s="96">
        <v>94027</v>
      </c>
      <c r="JH12" s="96">
        <v>0</v>
      </c>
      <c r="JI12" s="96">
        <v>0</v>
      </c>
      <c r="JJ12" s="96">
        <v>0</v>
      </c>
      <c r="JK12" s="96">
        <v>0</v>
      </c>
      <c r="JL12" s="96">
        <v>0</v>
      </c>
      <c r="JM12" s="96">
        <v>0</v>
      </c>
      <c r="JN12" s="96"/>
      <c r="JO12" s="96"/>
      <c r="JP12" s="96"/>
      <c r="JQ12" s="96"/>
      <c r="JR12" s="96"/>
      <c r="JS12" s="96"/>
      <c r="JT12" s="96">
        <v>0</v>
      </c>
      <c r="JU12" s="96">
        <v>0</v>
      </c>
      <c r="JV12" s="96">
        <v>0</v>
      </c>
      <c r="JW12" s="96">
        <v>0</v>
      </c>
      <c r="JX12" s="96">
        <v>0</v>
      </c>
      <c r="JY12" s="96">
        <v>0</v>
      </c>
      <c r="JZ12" s="96">
        <v>0</v>
      </c>
      <c r="KA12" s="96">
        <v>0</v>
      </c>
      <c r="KB12" s="96">
        <v>144818</v>
      </c>
      <c r="KC12" s="96"/>
      <c r="KD12" s="96"/>
      <c r="KE12" s="96"/>
      <c r="KF12" s="96">
        <v>0</v>
      </c>
      <c r="KG12" s="96"/>
      <c r="KH12" s="96">
        <v>0</v>
      </c>
      <c r="KI12" s="96">
        <v>0</v>
      </c>
      <c r="KJ12" s="96">
        <v>0</v>
      </c>
      <c r="KK12" s="96">
        <v>0</v>
      </c>
      <c r="KL12" s="96"/>
      <c r="KM12" s="96"/>
      <c r="KN12" s="96">
        <v>32054</v>
      </c>
      <c r="KO12" s="96">
        <v>46676</v>
      </c>
      <c r="KP12" s="96">
        <v>0</v>
      </c>
      <c r="KQ12" s="96">
        <v>0</v>
      </c>
      <c r="KR12" s="96">
        <v>0</v>
      </c>
      <c r="KS12" s="96">
        <v>0</v>
      </c>
      <c r="KT12" s="96">
        <v>372327</v>
      </c>
      <c r="KU12" s="96"/>
      <c r="KV12" s="96">
        <v>0</v>
      </c>
      <c r="KW12" s="96">
        <v>0</v>
      </c>
      <c r="KX12" s="96"/>
      <c r="KY12" s="96"/>
      <c r="KZ12" s="96">
        <v>0</v>
      </c>
      <c r="LA12" s="96">
        <v>0</v>
      </c>
      <c r="LB12" s="96"/>
      <c r="LC12" s="96"/>
      <c r="LD12" s="96">
        <v>0</v>
      </c>
      <c r="LE12" s="96">
        <v>0</v>
      </c>
      <c r="LF12" s="96"/>
      <c r="LG12" s="96"/>
      <c r="LH12" s="96">
        <v>88909</v>
      </c>
      <c r="LI12" s="96"/>
      <c r="LJ12" s="96">
        <v>0</v>
      </c>
      <c r="LK12" s="96">
        <v>0</v>
      </c>
      <c r="LL12" s="96">
        <v>0</v>
      </c>
      <c r="LM12" s="96">
        <v>0</v>
      </c>
      <c r="LN12" s="96">
        <v>0</v>
      </c>
      <c r="LO12" s="96">
        <v>0</v>
      </c>
      <c r="LP12" s="96">
        <v>0</v>
      </c>
      <c r="LQ12" s="96">
        <v>0</v>
      </c>
      <c r="LR12" s="96"/>
      <c r="LS12" s="96"/>
      <c r="LT12" s="96">
        <v>0</v>
      </c>
      <c r="LU12" s="96">
        <v>0</v>
      </c>
      <c r="LV12" s="96"/>
      <c r="LW12" s="96"/>
      <c r="LX12" s="96">
        <v>0</v>
      </c>
      <c r="LY12" s="96">
        <v>0</v>
      </c>
      <c r="LZ12" s="96"/>
      <c r="MA12" s="96"/>
      <c r="MB12" s="96"/>
      <c r="MC12" s="96"/>
      <c r="MD12" s="96">
        <v>0</v>
      </c>
      <c r="ME12" s="96">
        <v>0</v>
      </c>
      <c r="MF12" s="96">
        <v>0</v>
      </c>
      <c r="MG12" s="96">
        <v>0</v>
      </c>
      <c r="MH12" s="96">
        <v>0</v>
      </c>
      <c r="MI12" s="96">
        <v>0</v>
      </c>
      <c r="MJ12" s="96">
        <v>0</v>
      </c>
      <c r="MK12" s="96">
        <v>0</v>
      </c>
      <c r="ML12" s="96">
        <v>0</v>
      </c>
      <c r="MM12" s="96">
        <v>0</v>
      </c>
      <c r="MN12" s="96">
        <v>0</v>
      </c>
      <c r="MO12" s="96">
        <v>0</v>
      </c>
      <c r="MP12" s="96"/>
      <c r="MQ12" s="96"/>
      <c r="MR12" s="96"/>
      <c r="MS12" s="96"/>
      <c r="MT12" s="96"/>
      <c r="MU12" s="96"/>
      <c r="MV12" s="96">
        <v>0</v>
      </c>
      <c r="MW12" s="96">
        <v>0</v>
      </c>
      <c r="MX12" s="96">
        <v>0</v>
      </c>
      <c r="MY12" s="96">
        <v>0</v>
      </c>
      <c r="MZ12" s="96">
        <v>0</v>
      </c>
      <c r="NA12" s="96">
        <v>0</v>
      </c>
      <c r="NB12" s="96">
        <v>0</v>
      </c>
      <c r="NC12" s="96">
        <v>1162</v>
      </c>
      <c r="ND12" s="96">
        <v>0</v>
      </c>
      <c r="NE12" s="96">
        <v>0</v>
      </c>
      <c r="NF12" s="96">
        <v>0</v>
      </c>
      <c r="NG12" s="96">
        <v>0</v>
      </c>
      <c r="NH12" s="391">
        <v>0</v>
      </c>
      <c r="NI12" s="391">
        <v>0</v>
      </c>
      <c r="NJ12" s="391"/>
      <c r="NK12" s="391"/>
      <c r="NL12" s="391">
        <v>94027</v>
      </c>
      <c r="NM12" s="391">
        <v>72933</v>
      </c>
      <c r="NN12" s="391"/>
      <c r="NO12" s="391">
        <v>0</v>
      </c>
      <c r="NP12" s="391">
        <v>0</v>
      </c>
      <c r="NQ12" s="391">
        <v>0</v>
      </c>
      <c r="NR12" s="391">
        <v>0</v>
      </c>
      <c r="NS12" s="391">
        <v>0</v>
      </c>
      <c r="NT12" s="391"/>
      <c r="NU12" s="391"/>
      <c r="NV12" s="391"/>
      <c r="NW12" s="391"/>
      <c r="NX12" s="391"/>
      <c r="NY12" s="391"/>
      <c r="NZ12" s="391"/>
      <c r="OA12" s="391">
        <v>0</v>
      </c>
      <c r="OB12" s="391">
        <v>0</v>
      </c>
      <c r="OC12" s="391">
        <v>0</v>
      </c>
      <c r="OD12" s="391">
        <v>0</v>
      </c>
      <c r="OE12" s="391">
        <v>0</v>
      </c>
      <c r="OF12" s="391">
        <v>0</v>
      </c>
      <c r="OG12" s="391">
        <v>0</v>
      </c>
      <c r="OH12" s="391"/>
      <c r="OI12" s="391"/>
      <c r="OJ12" s="391"/>
      <c r="OK12" s="391"/>
      <c r="OL12" s="391"/>
      <c r="OM12" s="391"/>
      <c r="ON12" s="391">
        <v>0</v>
      </c>
      <c r="OO12" s="391">
        <v>0</v>
      </c>
      <c r="OP12" s="391">
        <v>0</v>
      </c>
      <c r="OQ12" s="391">
        <v>0</v>
      </c>
      <c r="OR12" s="391"/>
      <c r="OS12" s="391"/>
      <c r="OT12" s="391">
        <v>46676</v>
      </c>
      <c r="OU12" s="391">
        <v>93591</v>
      </c>
      <c r="OV12" s="391">
        <v>0</v>
      </c>
      <c r="OW12" s="391">
        <v>0</v>
      </c>
      <c r="OX12" s="391">
        <v>0</v>
      </c>
      <c r="OY12" s="391">
        <v>0</v>
      </c>
      <c r="OZ12" s="391"/>
      <c r="PA12" s="391"/>
      <c r="PB12" s="391">
        <v>0</v>
      </c>
      <c r="PC12" s="391">
        <v>0</v>
      </c>
      <c r="PD12" s="391"/>
      <c r="PE12" s="391"/>
      <c r="PF12" s="391">
        <v>0</v>
      </c>
      <c r="PG12" s="391">
        <v>0</v>
      </c>
      <c r="PH12" s="391"/>
      <c r="PI12" s="391"/>
      <c r="PJ12" s="391">
        <v>0</v>
      </c>
      <c r="PK12" s="391">
        <v>0</v>
      </c>
      <c r="PL12" s="391"/>
      <c r="PM12" s="391"/>
      <c r="PN12" s="391"/>
      <c r="PO12" s="391"/>
      <c r="PP12" s="391">
        <v>0</v>
      </c>
      <c r="PQ12" s="391">
        <v>0</v>
      </c>
      <c r="PR12" s="391">
        <v>0</v>
      </c>
      <c r="PS12" s="391">
        <v>0</v>
      </c>
      <c r="PT12" s="391"/>
      <c r="PU12" s="391"/>
      <c r="PV12" s="391">
        <v>0</v>
      </c>
      <c r="PW12" s="391">
        <v>0</v>
      </c>
      <c r="PX12" s="391"/>
      <c r="PY12" s="391"/>
      <c r="PZ12" s="391">
        <v>0</v>
      </c>
      <c r="QA12" s="391">
        <v>0</v>
      </c>
      <c r="QB12" s="391"/>
      <c r="QC12" s="391"/>
      <c r="QD12" s="391">
        <v>0</v>
      </c>
      <c r="QE12" s="392"/>
      <c r="QF12" s="391"/>
      <c r="QG12" s="391"/>
      <c r="QH12" s="391"/>
      <c r="QI12" s="391"/>
      <c r="QJ12" s="391">
        <v>0</v>
      </c>
      <c r="QK12" s="391">
        <v>0</v>
      </c>
      <c r="QL12" s="391">
        <v>0</v>
      </c>
      <c r="QM12" s="391"/>
      <c r="QN12" s="391">
        <v>0</v>
      </c>
      <c r="QO12" s="391">
        <v>0</v>
      </c>
      <c r="QP12" s="391">
        <v>0</v>
      </c>
      <c r="QQ12" s="391"/>
      <c r="QR12" s="391">
        <v>0</v>
      </c>
      <c r="QS12" s="391">
        <v>0</v>
      </c>
      <c r="QT12" s="391">
        <v>0</v>
      </c>
      <c r="QU12" s="391">
        <v>0</v>
      </c>
      <c r="QV12" s="391"/>
      <c r="QW12" s="391"/>
      <c r="QX12" s="391"/>
      <c r="QY12" s="391"/>
      <c r="QZ12" s="391"/>
      <c r="RA12" s="391"/>
      <c r="RB12" s="391">
        <v>0</v>
      </c>
      <c r="RC12" s="391">
        <v>0</v>
      </c>
      <c r="RD12" s="391">
        <v>0</v>
      </c>
      <c r="RE12" s="391">
        <v>0</v>
      </c>
      <c r="RF12" s="391">
        <v>0</v>
      </c>
      <c r="RG12" s="391">
        <v>0</v>
      </c>
      <c r="RH12" s="391">
        <v>0</v>
      </c>
      <c r="RI12" s="391">
        <v>1162</v>
      </c>
      <c r="RJ12" s="391">
        <v>0</v>
      </c>
      <c r="RK12" s="391">
        <v>0</v>
      </c>
      <c r="RL12" s="391">
        <v>0</v>
      </c>
      <c r="RM12" s="391">
        <v>0</v>
      </c>
      <c r="RN12" s="96"/>
      <c r="RO12" s="96"/>
      <c r="RP12" s="96"/>
      <c r="RQ12" s="96"/>
      <c r="RR12" s="96">
        <v>72933</v>
      </c>
      <c r="RS12" s="96"/>
      <c r="RT12" s="96"/>
      <c r="RU12" s="96"/>
      <c r="RV12" s="96">
        <v>0</v>
      </c>
      <c r="RW12" s="96"/>
      <c r="RX12" s="96"/>
      <c r="RY12" s="96"/>
      <c r="RZ12" s="96"/>
      <c r="SA12" s="96"/>
      <c r="SB12" s="96"/>
      <c r="SC12" s="96"/>
      <c r="SD12" s="96"/>
      <c r="SE12" s="96"/>
      <c r="SF12" s="96"/>
      <c r="SG12" s="96"/>
      <c r="SH12" s="96">
        <v>0</v>
      </c>
      <c r="SI12" s="96"/>
      <c r="SJ12" s="96"/>
      <c r="SK12" s="96"/>
      <c r="SL12" s="96">
        <v>0</v>
      </c>
      <c r="SM12" s="96"/>
      <c r="SN12" s="96"/>
      <c r="SO12" s="96"/>
      <c r="SP12" s="96"/>
      <c r="SQ12" s="96"/>
      <c r="SR12" s="96"/>
      <c r="SS12" s="96"/>
      <c r="ST12" s="96">
        <v>0</v>
      </c>
      <c r="SU12" s="96"/>
      <c r="SV12" s="96"/>
      <c r="SW12" s="96"/>
      <c r="SX12" s="96"/>
      <c r="SY12" s="96"/>
      <c r="SZ12" s="96"/>
      <c r="TA12" s="96"/>
      <c r="TB12" s="96">
        <v>0</v>
      </c>
      <c r="TC12" s="96"/>
      <c r="TD12" s="96"/>
      <c r="TE12" s="96"/>
      <c r="TF12" s="96"/>
      <c r="TG12" s="96"/>
      <c r="TH12" s="96"/>
      <c r="TI12" s="96"/>
      <c r="TJ12" s="96"/>
      <c r="TK12" s="96"/>
      <c r="TL12" s="96"/>
      <c r="TM12" s="96"/>
      <c r="TN12" s="96"/>
      <c r="TO12" s="96"/>
      <c r="TP12" s="96"/>
      <c r="TQ12" s="96"/>
      <c r="TR12" s="96"/>
      <c r="TS12" s="96"/>
      <c r="TT12" s="96"/>
      <c r="TU12" s="96"/>
      <c r="TV12" s="96"/>
      <c r="TW12" s="96"/>
      <c r="TX12" s="96">
        <v>0</v>
      </c>
      <c r="TY12" s="96"/>
      <c r="TZ12" s="96"/>
      <c r="UA12" s="96"/>
      <c r="UB12" s="96">
        <v>0</v>
      </c>
      <c r="UC12" s="96"/>
      <c r="UD12" s="96"/>
      <c r="UE12" s="96"/>
      <c r="UF12" s="96">
        <v>0</v>
      </c>
      <c r="UG12" s="96"/>
      <c r="UH12" s="96"/>
      <c r="UI12" s="96"/>
      <c r="UJ12" s="96"/>
      <c r="UK12" s="96"/>
      <c r="UL12" s="96"/>
      <c r="UM12" s="96"/>
      <c r="UN12" s="96"/>
      <c r="UO12" s="96"/>
      <c r="UP12" s="96"/>
      <c r="UQ12" s="96"/>
      <c r="UR12" s="96"/>
      <c r="US12" s="96"/>
      <c r="UT12" s="96">
        <v>0</v>
      </c>
      <c r="UU12" s="96"/>
      <c r="UV12" s="96"/>
      <c r="UW12" s="96"/>
      <c r="UX12" s="96"/>
      <c r="UY12" s="96"/>
      <c r="UZ12" s="96">
        <v>0</v>
      </c>
      <c r="VA12" s="96"/>
      <c r="VB12" s="96"/>
      <c r="VC12" s="96"/>
      <c r="VD12" s="96"/>
      <c r="VE12" s="96"/>
      <c r="VF12" s="96"/>
      <c r="VG12" s="96"/>
      <c r="VH12" s="96">
        <v>0</v>
      </c>
      <c r="VI12" s="96"/>
      <c r="VJ12" s="96"/>
      <c r="VK12" s="96"/>
      <c r="VL12" s="96"/>
      <c r="VM12" s="96"/>
      <c r="VN12" s="96">
        <v>1162</v>
      </c>
      <c r="VO12" s="96"/>
      <c r="VP12" s="96">
        <v>0</v>
      </c>
      <c r="VQ12" s="96"/>
      <c r="VR12" s="96">
        <v>0</v>
      </c>
      <c r="VS12" s="96"/>
      <c r="VT12" s="96"/>
      <c r="VU12" s="96"/>
      <c r="VV12" s="96"/>
      <c r="VW12" s="96"/>
      <c r="VX12" s="96"/>
      <c r="VY12" s="96"/>
      <c r="VZ12" s="96"/>
      <c r="WA12" s="96"/>
      <c r="WB12" s="96"/>
      <c r="WC12" s="96"/>
      <c r="WD12" s="96"/>
      <c r="WE12" s="96"/>
      <c r="WF12" s="96"/>
      <c r="WG12" s="96"/>
      <c r="WH12" s="96"/>
      <c r="WI12" s="96"/>
      <c r="WJ12" s="96"/>
      <c r="WK12" s="96"/>
      <c r="WL12" s="96"/>
      <c r="WM12" s="96"/>
      <c r="WN12" s="96"/>
      <c r="WO12" s="96"/>
      <c r="WP12" s="96"/>
      <c r="WQ12" s="96"/>
      <c r="WR12" s="96"/>
      <c r="WS12" s="96"/>
      <c r="WT12" s="96"/>
      <c r="WU12" s="96"/>
      <c r="WV12" s="96"/>
      <c r="WW12" s="96"/>
      <c r="WX12" s="96"/>
      <c r="WY12" s="96"/>
      <c r="WZ12" s="96"/>
      <c r="XA12" s="96"/>
      <c r="XB12" s="96"/>
      <c r="XC12" s="96"/>
      <c r="XD12" s="96"/>
      <c r="XE12" s="96"/>
      <c r="XF12" s="96"/>
      <c r="XG12" s="96"/>
      <c r="XH12" s="96">
        <v>0</v>
      </c>
      <c r="XI12" s="96"/>
      <c r="XJ12" s="96"/>
      <c r="XK12" s="96"/>
      <c r="XL12" s="96"/>
      <c r="XM12" s="96"/>
      <c r="XN12" s="96"/>
      <c r="XO12" s="96"/>
      <c r="XP12" s="96"/>
      <c r="XQ12" s="96"/>
      <c r="XR12" s="96"/>
      <c r="XS12" s="96"/>
      <c r="XT12" s="96"/>
      <c r="XU12" s="96"/>
      <c r="XV12" s="96"/>
      <c r="XW12" s="96"/>
      <c r="XX12" s="96"/>
      <c r="XY12" s="96"/>
      <c r="XZ12" s="96"/>
      <c r="YA12" s="96"/>
      <c r="YB12" s="96"/>
      <c r="YC12" s="96"/>
      <c r="YD12" s="96"/>
      <c r="YE12" s="96"/>
      <c r="YF12" s="96"/>
      <c r="YG12" s="96"/>
      <c r="YH12" s="96">
        <v>0</v>
      </c>
      <c r="YI12" s="96"/>
      <c r="YJ12" s="96"/>
      <c r="YK12" s="96"/>
      <c r="YL12" s="96"/>
      <c r="YM12" s="96"/>
      <c r="YN12" s="96"/>
      <c r="YO12" s="96"/>
      <c r="YP12" s="96"/>
      <c r="YQ12" s="96"/>
      <c r="YR12" s="96"/>
      <c r="YS12" s="96"/>
      <c r="YT12" s="96"/>
      <c r="YU12" s="96"/>
      <c r="YV12" s="96"/>
      <c r="YW12" s="96"/>
      <c r="YX12" s="96"/>
      <c r="YY12" s="96"/>
      <c r="YZ12" s="96">
        <v>0</v>
      </c>
      <c r="ZA12" s="96"/>
      <c r="ZB12" s="96"/>
      <c r="ZC12" s="96"/>
      <c r="ZD12" s="96"/>
      <c r="ZE12" s="96"/>
      <c r="ZF12" s="96"/>
      <c r="ZG12" s="96"/>
      <c r="ZH12" s="96"/>
      <c r="ZI12" s="96"/>
      <c r="ZJ12" s="96"/>
      <c r="ZK12" s="96"/>
      <c r="ZL12" s="96"/>
      <c r="ZM12" s="96"/>
      <c r="ZN12" s="96"/>
      <c r="ZO12" s="96"/>
      <c r="ZP12" s="96"/>
      <c r="ZQ12" s="96"/>
      <c r="ZR12" s="96"/>
      <c r="ZS12" s="96"/>
      <c r="ZT12" s="96"/>
      <c r="ZU12" s="96"/>
      <c r="ZV12" s="96"/>
      <c r="ZW12" s="96"/>
      <c r="ZX12" s="96"/>
      <c r="ZY12" s="96"/>
      <c r="ZZ12" s="605"/>
      <c r="AAA12" s="605"/>
      <c r="AAB12" s="605"/>
      <c r="AAC12" s="605"/>
      <c r="AAD12" s="605"/>
      <c r="AAE12" s="605"/>
      <c r="AAF12" s="605"/>
      <c r="AAG12" s="605"/>
      <c r="AAH12" s="605"/>
      <c r="AAI12" s="605"/>
      <c r="AAJ12" s="605"/>
      <c r="AAK12" s="605"/>
      <c r="AAL12" s="605"/>
      <c r="AAM12" s="605"/>
      <c r="AAN12" s="605"/>
      <c r="AAO12" s="605"/>
      <c r="AAP12" s="605"/>
      <c r="AAQ12" s="605"/>
      <c r="AAR12" s="605"/>
      <c r="AAS12" s="605"/>
      <c r="AAT12" s="605"/>
      <c r="AAU12" s="605"/>
      <c r="AAV12" s="605"/>
      <c r="AAW12" s="605"/>
      <c r="AAX12" s="605"/>
      <c r="AAY12" s="605"/>
      <c r="AAZ12" s="605"/>
      <c r="ABA12" s="605"/>
      <c r="ABB12" s="605"/>
      <c r="ABC12" s="605"/>
      <c r="ABD12" s="605"/>
      <c r="ABE12" s="605"/>
      <c r="ABF12" s="605"/>
      <c r="ABG12" s="605"/>
      <c r="ABH12" s="605"/>
      <c r="ABI12" s="605"/>
      <c r="ABJ12" s="605"/>
      <c r="ABK12" s="605"/>
      <c r="ABL12" s="605"/>
      <c r="ABM12" s="605"/>
      <c r="ABN12" s="605"/>
      <c r="ABO12" s="605"/>
      <c r="ABP12" s="605"/>
      <c r="ABQ12" s="605"/>
      <c r="ABR12" s="605"/>
      <c r="ABS12" s="605"/>
      <c r="ABT12" s="605"/>
      <c r="ABU12" s="605"/>
      <c r="ABV12" s="605"/>
      <c r="ABW12" s="605"/>
      <c r="ABX12" s="605"/>
      <c r="ABY12" s="605"/>
      <c r="ABZ12" s="605"/>
      <c r="ACA12" s="605"/>
      <c r="ACB12" s="605"/>
      <c r="ACC12" s="605"/>
      <c r="ACD12" s="605"/>
      <c r="ACE12" s="605"/>
      <c r="ACF12" s="605"/>
      <c r="ACG12" s="605"/>
      <c r="ACH12" s="605"/>
      <c r="ACI12" s="605"/>
      <c r="ACJ12" s="605"/>
      <c r="ACK12" s="605"/>
      <c r="ACL12" s="605"/>
      <c r="ACM12" s="605"/>
      <c r="ACN12" s="605"/>
      <c r="ACO12" s="605"/>
      <c r="ACP12" s="605"/>
      <c r="ACQ12" s="605"/>
      <c r="ACR12" s="605"/>
      <c r="ACS12" s="605"/>
      <c r="ACT12" s="605"/>
      <c r="ACU12" s="605"/>
      <c r="ACV12" s="605"/>
      <c r="ACW12" s="605"/>
      <c r="ACX12" s="605"/>
      <c r="ACY12" s="605"/>
      <c r="ACZ12" s="605"/>
      <c r="ADA12" s="605"/>
      <c r="ADB12" s="605"/>
      <c r="ADC12" s="605"/>
      <c r="ADD12" s="605"/>
      <c r="ADE12" s="605"/>
      <c r="ADF12" s="605"/>
      <c r="ADG12" s="605"/>
      <c r="ADH12" s="605"/>
      <c r="ADI12" s="605"/>
      <c r="ADJ12" s="605"/>
      <c r="ADK12" s="605"/>
      <c r="ADL12" s="605"/>
      <c r="ADM12" s="605"/>
      <c r="ADN12" s="605"/>
      <c r="ADO12" s="605"/>
      <c r="ADP12" s="605"/>
      <c r="ADQ12" s="605"/>
      <c r="ADR12" s="605"/>
      <c r="ADS12" s="605"/>
      <c r="ADT12" s="605"/>
      <c r="ADU12" s="605"/>
      <c r="ADV12" s="605"/>
      <c r="ADW12" s="605"/>
      <c r="ADX12" s="605"/>
      <c r="ADY12" s="605"/>
      <c r="ADZ12" s="605"/>
      <c r="AEA12" s="605"/>
      <c r="AEB12" s="605"/>
      <c r="AEC12" s="605"/>
      <c r="AED12" s="605"/>
      <c r="AEE12" s="605"/>
      <c r="AEF12" s="605"/>
      <c r="AEG12" s="605"/>
      <c r="AEH12" s="605"/>
      <c r="AEI12" s="605"/>
      <c r="AEJ12" s="605"/>
      <c r="AEK12" s="605"/>
      <c r="AEL12" s="605"/>
      <c r="AEM12" s="605"/>
      <c r="AEN12" s="605"/>
      <c r="AEO12" s="605"/>
      <c r="AEP12" s="605"/>
      <c r="AEQ12" s="605"/>
      <c r="AER12" s="605"/>
      <c r="AES12" s="605"/>
      <c r="AET12" s="605"/>
      <c r="AEU12" s="605"/>
      <c r="AEV12" s="605"/>
      <c r="AEW12" s="605"/>
      <c r="AEX12" s="605"/>
      <c r="AEY12" s="605"/>
      <c r="AEZ12" s="605"/>
      <c r="AFA12" s="605"/>
      <c r="AFB12" s="605"/>
      <c r="AFC12" s="605"/>
      <c r="AFD12" s="605"/>
      <c r="AFE12" s="605"/>
      <c r="AFF12" s="605"/>
      <c r="AFG12" s="605"/>
      <c r="AFH12" s="605"/>
      <c r="AFI12" s="605"/>
      <c r="AFJ12" s="605"/>
      <c r="AFK12" s="605"/>
      <c r="AFL12" s="605"/>
      <c r="AFM12" s="605"/>
      <c r="AFN12" s="605"/>
      <c r="AFO12" s="605"/>
      <c r="AFP12" s="605"/>
      <c r="AFQ12" s="605"/>
      <c r="AFR12" s="605"/>
      <c r="AFS12" s="605"/>
      <c r="AFT12" s="605"/>
      <c r="AFU12" s="605"/>
      <c r="AFV12" s="605"/>
      <c r="AFW12" s="605"/>
      <c r="AFX12" s="605"/>
      <c r="AFY12" s="605"/>
      <c r="AFZ12" s="605"/>
      <c r="AGA12" s="605"/>
      <c r="AGB12" s="605"/>
      <c r="AGC12" s="605"/>
      <c r="AGD12" s="605"/>
      <c r="AGE12" s="605"/>
      <c r="AGF12" s="605"/>
      <c r="AGG12" s="605"/>
      <c r="AGH12" s="605"/>
      <c r="AGI12" s="605"/>
      <c r="AGJ12" s="605"/>
      <c r="AGK12" s="605"/>
      <c r="AGL12" s="605"/>
      <c r="AGM12" s="605"/>
      <c r="AGN12" s="605"/>
      <c r="AGO12" s="605"/>
      <c r="AGP12" s="605"/>
      <c r="AGQ12" s="605"/>
      <c r="AGR12" s="605"/>
      <c r="AGS12" s="605"/>
      <c r="AGT12" s="605"/>
      <c r="AGU12" s="605"/>
      <c r="AGV12" s="605"/>
      <c r="AGW12" s="605"/>
      <c r="AGX12" s="605"/>
      <c r="AGY12" s="605"/>
      <c r="AGZ12" s="605"/>
      <c r="AHA12" s="605"/>
      <c r="AHB12" s="605"/>
      <c r="AHC12" s="605"/>
      <c r="AHD12" s="605"/>
      <c r="AHE12" s="605"/>
      <c r="AHF12" s="605"/>
      <c r="AHG12" s="605"/>
      <c r="AHH12" s="605"/>
      <c r="AHI12" s="605"/>
      <c r="AHJ12" s="605"/>
      <c r="AHK12" s="605"/>
      <c r="AHL12" s="605"/>
      <c r="AHM12" s="605"/>
      <c r="AHN12" s="605"/>
      <c r="AHO12" s="605"/>
      <c r="AHP12" s="605"/>
      <c r="AHQ12" s="605"/>
      <c r="AHR12" s="605"/>
      <c r="AHS12" s="605"/>
      <c r="AHT12" s="605"/>
      <c r="AHU12" s="605"/>
      <c r="AHV12" s="605"/>
      <c r="AHW12" s="605"/>
      <c r="AHX12" s="605"/>
      <c r="AHY12" s="605"/>
      <c r="AHZ12" s="605"/>
      <c r="AIA12" s="605"/>
      <c r="AIB12" s="605"/>
      <c r="AIC12" s="605"/>
      <c r="AID12" s="605"/>
      <c r="AIE12" s="605"/>
      <c r="AIF12" s="605"/>
      <c r="AIG12" s="605"/>
      <c r="AIH12" s="605"/>
      <c r="AII12" s="605"/>
      <c r="AIJ12" s="605"/>
      <c r="AIK12" s="605"/>
      <c r="AIL12" s="605"/>
      <c r="AIM12" s="605"/>
      <c r="AIN12" s="605"/>
      <c r="AIO12" s="605"/>
      <c r="AIP12" s="605"/>
      <c r="AIQ12" s="605"/>
      <c r="AIR12" s="605"/>
      <c r="AIS12" s="605"/>
      <c r="AIT12" s="605"/>
      <c r="AIU12" s="605"/>
      <c r="AIV12" s="605"/>
      <c r="AIW12" s="605"/>
      <c r="AIX12" s="605"/>
      <c r="AIY12" s="605"/>
      <c r="AIZ12" s="605"/>
      <c r="AJA12" s="605"/>
      <c r="AJB12" s="605"/>
      <c r="AJC12" s="605"/>
      <c r="AJD12" s="605"/>
      <c r="AJE12" s="605"/>
      <c r="AJF12" s="605"/>
      <c r="AJG12" s="605"/>
      <c r="AJH12" s="605"/>
      <c r="AJI12" s="605"/>
      <c r="AJJ12" s="605"/>
      <c r="AJK12" s="605"/>
      <c r="AJL12" s="605"/>
      <c r="AJM12" s="605"/>
      <c r="AJN12" s="605"/>
      <c r="AJO12" s="605"/>
    </row>
    <row r="13" spans="1:951" x14ac:dyDescent="0.25">
      <c r="A13" s="90" t="s">
        <v>15</v>
      </c>
      <c r="B13" s="98">
        <v>0</v>
      </c>
      <c r="C13" s="98">
        <v>1296824.5109999999</v>
      </c>
      <c r="D13" s="98">
        <v>3949702.1030000001</v>
      </c>
      <c r="E13" s="98">
        <v>3186080</v>
      </c>
      <c r="F13" s="98">
        <v>5688455</v>
      </c>
      <c r="G13" s="98">
        <v>408002</v>
      </c>
      <c r="H13" s="98">
        <v>245707</v>
      </c>
      <c r="I13" s="98">
        <v>182914.74100000001</v>
      </c>
      <c r="J13" s="98">
        <v>171773</v>
      </c>
      <c r="K13" s="98">
        <v>0</v>
      </c>
      <c r="L13" s="98">
        <v>2549276.6830000002</v>
      </c>
      <c r="M13" s="98">
        <v>4020757.7560000001</v>
      </c>
      <c r="N13" s="98">
        <v>5171506.1720000003</v>
      </c>
      <c r="O13" s="99">
        <v>4486563</v>
      </c>
      <c r="P13" s="99">
        <v>5757333</v>
      </c>
      <c r="Q13" s="99">
        <v>0</v>
      </c>
      <c r="R13" s="99">
        <v>86893.135999999999</v>
      </c>
      <c r="S13" s="99">
        <v>160244</v>
      </c>
      <c r="T13" s="99">
        <v>330518</v>
      </c>
      <c r="U13" s="99">
        <v>2671615</v>
      </c>
      <c r="V13" s="98">
        <v>0</v>
      </c>
      <c r="W13" s="98">
        <v>0</v>
      </c>
      <c r="X13" s="98">
        <v>318007</v>
      </c>
      <c r="Y13" s="98">
        <v>589620</v>
      </c>
      <c r="Z13" s="98">
        <v>858206</v>
      </c>
      <c r="AA13" s="98">
        <v>0</v>
      </c>
      <c r="AB13" s="98">
        <v>55840</v>
      </c>
      <c r="AC13" s="98">
        <v>30251.324000000001</v>
      </c>
      <c r="AD13" s="98">
        <v>205594</v>
      </c>
      <c r="AE13" s="98">
        <v>515047</v>
      </c>
      <c r="AF13" s="98">
        <v>1644132.014</v>
      </c>
      <c r="AG13" s="98">
        <v>336043.13099999999</v>
      </c>
      <c r="AH13" s="98">
        <v>290794.40599999996</v>
      </c>
      <c r="AI13" s="99">
        <v>503477</v>
      </c>
      <c r="AJ13" s="99">
        <v>382887</v>
      </c>
      <c r="AK13" s="98">
        <v>0</v>
      </c>
      <c r="AL13" s="98">
        <v>47333.794999999998</v>
      </c>
      <c r="AM13" s="98">
        <v>735146.02300000004</v>
      </c>
      <c r="AN13" s="98">
        <v>721453</v>
      </c>
      <c r="AO13" s="98">
        <v>704164</v>
      </c>
      <c r="AP13" s="98">
        <v>0</v>
      </c>
      <c r="AQ13" s="98">
        <v>97473</v>
      </c>
      <c r="AR13" s="98">
        <v>56790</v>
      </c>
      <c r="AS13" s="98">
        <v>128348</v>
      </c>
      <c r="AT13" s="98">
        <v>228125</v>
      </c>
      <c r="AU13" s="98">
        <v>567254</v>
      </c>
      <c r="AV13" s="98">
        <v>176345</v>
      </c>
      <c r="AW13" s="98">
        <v>26091</v>
      </c>
      <c r="AX13" s="98">
        <v>16677</v>
      </c>
      <c r="AY13" s="98">
        <v>0</v>
      </c>
      <c r="AZ13" s="98">
        <v>69884.873000000007</v>
      </c>
      <c r="BA13" s="98">
        <v>151239.769</v>
      </c>
      <c r="BB13" s="98">
        <v>2861.2290000000003</v>
      </c>
      <c r="BC13" s="98">
        <v>4110</v>
      </c>
      <c r="BD13" s="98">
        <v>5994</v>
      </c>
      <c r="BE13" s="98">
        <v>0</v>
      </c>
      <c r="BF13" s="98">
        <v>469972.08999999997</v>
      </c>
      <c r="BG13" s="98">
        <v>439962.446</v>
      </c>
      <c r="BH13" s="98">
        <v>501350</v>
      </c>
      <c r="BI13" s="98">
        <v>566843</v>
      </c>
      <c r="BJ13" s="98">
        <v>0</v>
      </c>
      <c r="BK13" s="98">
        <v>0</v>
      </c>
      <c r="BL13" s="98">
        <v>0</v>
      </c>
      <c r="BM13" s="98">
        <v>0</v>
      </c>
      <c r="BN13" s="98">
        <v>628958</v>
      </c>
      <c r="BO13" s="98">
        <v>0</v>
      </c>
      <c r="BP13" s="98">
        <v>0</v>
      </c>
      <c r="BQ13" s="98">
        <v>31119</v>
      </c>
      <c r="BR13" s="98">
        <v>71284</v>
      </c>
      <c r="BS13" s="98">
        <v>142046</v>
      </c>
      <c r="BT13" s="98">
        <v>119348.624</v>
      </c>
      <c r="BU13" s="98">
        <v>194277.76000000001</v>
      </c>
      <c r="BV13" s="98">
        <v>114918</v>
      </c>
      <c r="BW13" s="98">
        <v>234743</v>
      </c>
      <c r="BX13" s="98">
        <v>327243</v>
      </c>
      <c r="BY13" s="98">
        <v>0</v>
      </c>
      <c r="BZ13" s="98">
        <v>793374.27500000002</v>
      </c>
      <c r="CA13" s="98">
        <v>497793.02899999998</v>
      </c>
      <c r="CB13" s="98">
        <v>1429425</v>
      </c>
      <c r="CC13" s="98">
        <v>2161213</v>
      </c>
      <c r="CD13" s="98">
        <v>25677.224999999999</v>
      </c>
      <c r="CE13" s="98">
        <v>8583.9410000000007</v>
      </c>
      <c r="CF13" s="98">
        <v>14020.484999999999</v>
      </c>
      <c r="CG13" s="98">
        <v>18509</v>
      </c>
      <c r="CH13" s="98">
        <v>21260</v>
      </c>
      <c r="CI13" s="98">
        <v>0</v>
      </c>
      <c r="CJ13" s="98">
        <v>0</v>
      </c>
      <c r="CK13" s="98">
        <v>386.76600000000002</v>
      </c>
      <c r="CL13" s="98">
        <v>311881</v>
      </c>
      <c r="CM13" s="98">
        <v>0</v>
      </c>
      <c r="CN13" s="98">
        <v>0</v>
      </c>
      <c r="CO13" s="98">
        <v>296606.34000000003</v>
      </c>
      <c r="CP13" s="98">
        <v>731596.00300000003</v>
      </c>
      <c r="CQ13" s="98">
        <v>702194</v>
      </c>
      <c r="CR13" s="98">
        <v>414588</v>
      </c>
      <c r="CS13" s="98">
        <v>0</v>
      </c>
      <c r="CT13" s="98">
        <v>785965.95900000003</v>
      </c>
      <c r="CU13" s="98">
        <v>853351</v>
      </c>
      <c r="CV13" s="98">
        <v>346815</v>
      </c>
      <c r="CW13" s="98">
        <v>43433</v>
      </c>
      <c r="CX13" s="98">
        <v>0</v>
      </c>
      <c r="CY13" s="98">
        <v>377.86500000000001</v>
      </c>
      <c r="CZ13" s="98">
        <v>391.63</v>
      </c>
      <c r="DA13" s="99">
        <v>407</v>
      </c>
      <c r="DB13" s="99">
        <v>0</v>
      </c>
      <c r="DC13" s="98">
        <v>19632</v>
      </c>
      <c r="DD13" s="98">
        <v>38957</v>
      </c>
      <c r="DE13" s="98">
        <v>65151</v>
      </c>
      <c r="DF13" s="98">
        <v>168765</v>
      </c>
      <c r="DG13" s="98">
        <v>27543</v>
      </c>
      <c r="DH13" s="98">
        <v>0</v>
      </c>
      <c r="DI13" s="98">
        <v>0</v>
      </c>
      <c r="DJ13" s="98">
        <v>0</v>
      </c>
      <c r="DK13" s="98">
        <v>0</v>
      </c>
      <c r="DL13" s="98">
        <v>346412</v>
      </c>
      <c r="DM13" s="101">
        <v>536310</v>
      </c>
      <c r="DN13" s="98">
        <v>1042004</v>
      </c>
      <c r="DO13" s="98">
        <v>1276088</v>
      </c>
      <c r="DP13" s="98">
        <v>5438657</v>
      </c>
      <c r="DQ13" s="98">
        <v>4824368</v>
      </c>
      <c r="DR13" s="98">
        <v>57535319.736000001</v>
      </c>
      <c r="DS13" s="98">
        <v>63506807.391999997</v>
      </c>
      <c r="DT13" s="98">
        <v>113837271.58700001</v>
      </c>
      <c r="DU13" s="98">
        <v>127889078</v>
      </c>
      <c r="DV13" s="98">
        <v>191255317</v>
      </c>
      <c r="DW13" s="98">
        <v>1138415.8759999999</v>
      </c>
      <c r="DX13" s="98">
        <v>1120026.6359999999</v>
      </c>
      <c r="DY13" s="98">
        <v>526921.29700000002</v>
      </c>
      <c r="DZ13" s="98">
        <v>559437</v>
      </c>
      <c r="EA13" s="98">
        <v>437686</v>
      </c>
      <c r="EB13" s="98">
        <v>0</v>
      </c>
      <c r="EC13" s="98">
        <v>0</v>
      </c>
      <c r="ED13" s="98">
        <v>0</v>
      </c>
      <c r="EE13" s="98">
        <v>0</v>
      </c>
      <c r="EF13" s="98">
        <v>67874</v>
      </c>
      <c r="EG13" s="98">
        <v>0</v>
      </c>
      <c r="EH13" s="98">
        <v>0</v>
      </c>
      <c r="EI13" s="98">
        <v>0</v>
      </c>
      <c r="EJ13" s="98">
        <v>686824</v>
      </c>
      <c r="EK13" s="98">
        <v>360787</v>
      </c>
      <c r="EL13" s="98">
        <v>0</v>
      </c>
      <c r="EM13" s="98">
        <v>0</v>
      </c>
      <c r="EN13" s="98">
        <v>0</v>
      </c>
      <c r="EO13" s="98">
        <v>405773</v>
      </c>
      <c r="EP13" s="98">
        <v>1119538</v>
      </c>
      <c r="EQ13" s="98">
        <v>0</v>
      </c>
      <c r="ER13" s="98">
        <v>0</v>
      </c>
      <c r="ES13" s="98">
        <v>0</v>
      </c>
      <c r="ET13" s="98">
        <v>0</v>
      </c>
      <c r="EU13" s="98">
        <v>317294</v>
      </c>
      <c r="EV13" s="98">
        <v>403713</v>
      </c>
      <c r="EW13" s="98">
        <v>554288</v>
      </c>
      <c r="EX13" s="99">
        <v>5757333</v>
      </c>
      <c r="EY13" s="99">
        <v>4785927</v>
      </c>
      <c r="EZ13" s="99">
        <v>2671615</v>
      </c>
      <c r="FA13" s="99">
        <v>2684263</v>
      </c>
      <c r="FB13" s="98">
        <v>515047</v>
      </c>
      <c r="FC13" s="98">
        <v>750650</v>
      </c>
      <c r="FD13" s="99">
        <v>382887</v>
      </c>
      <c r="FE13" s="98">
        <v>364135</v>
      </c>
      <c r="FF13" s="98">
        <v>704164</v>
      </c>
      <c r="FG13" s="98">
        <v>186416</v>
      </c>
      <c r="FH13" s="98">
        <v>228125</v>
      </c>
      <c r="FI13" s="98">
        <v>0</v>
      </c>
      <c r="FJ13" s="98">
        <v>0</v>
      </c>
      <c r="FK13" s="98">
        <v>0</v>
      </c>
      <c r="FL13" s="98">
        <v>0</v>
      </c>
      <c r="FM13" s="98">
        <v>110905</v>
      </c>
      <c r="FN13" s="98">
        <v>142046</v>
      </c>
      <c r="FO13" s="98">
        <v>111291</v>
      </c>
      <c r="FP13" s="98">
        <v>566843</v>
      </c>
      <c r="FQ13" s="98">
        <v>622844</v>
      </c>
      <c r="FR13" s="98">
        <v>327243</v>
      </c>
      <c r="FS13" s="98">
        <v>0</v>
      </c>
      <c r="FT13" s="98">
        <v>5994</v>
      </c>
      <c r="FU13" s="98">
        <v>6029</v>
      </c>
      <c r="FV13" s="98">
        <v>2161213</v>
      </c>
      <c r="FW13" s="99">
        <v>1247085</v>
      </c>
      <c r="FX13" s="98">
        <v>67874</v>
      </c>
      <c r="FY13" s="98">
        <v>8685</v>
      </c>
      <c r="FZ13" s="98">
        <v>858206</v>
      </c>
      <c r="GA13" s="98">
        <v>987637</v>
      </c>
      <c r="GB13" s="98">
        <v>628958</v>
      </c>
      <c r="GC13" s="98">
        <v>474021</v>
      </c>
      <c r="GD13" s="98">
        <v>21260</v>
      </c>
      <c r="GE13" s="98">
        <v>23544</v>
      </c>
      <c r="GF13" s="98"/>
      <c r="GG13" s="98"/>
      <c r="GH13" s="98">
        <v>414588</v>
      </c>
      <c r="GI13" s="98">
        <v>788353</v>
      </c>
      <c r="GJ13" s="98">
        <v>247829</v>
      </c>
      <c r="GK13" s="98">
        <v>228743</v>
      </c>
      <c r="GL13" s="98">
        <v>3324569</v>
      </c>
      <c r="GM13" s="98">
        <v>3400225</v>
      </c>
      <c r="GN13" s="98">
        <v>2677144</v>
      </c>
      <c r="GO13" s="98">
        <v>2826761</v>
      </c>
      <c r="GP13" s="98">
        <v>0</v>
      </c>
      <c r="GQ13" s="98">
        <v>0</v>
      </c>
      <c r="GR13" s="98"/>
      <c r="GS13" s="98"/>
      <c r="GT13" s="98">
        <v>1735677</v>
      </c>
      <c r="GU13" s="98">
        <v>842593</v>
      </c>
      <c r="GV13" s="98">
        <v>0</v>
      </c>
      <c r="GW13" s="98">
        <v>0</v>
      </c>
      <c r="GX13" s="98">
        <v>238245</v>
      </c>
      <c r="GY13" s="98">
        <v>210453</v>
      </c>
      <c r="GZ13" s="98">
        <v>84038195</v>
      </c>
      <c r="HA13" s="98">
        <v>110730511</v>
      </c>
      <c r="HB13" s="98">
        <v>1268827</v>
      </c>
      <c r="HC13" s="98">
        <v>1071363</v>
      </c>
      <c r="HD13" s="98">
        <v>227850</v>
      </c>
      <c r="HE13" s="98">
        <v>217859</v>
      </c>
      <c r="HF13" s="98">
        <v>3619504</v>
      </c>
      <c r="HG13" s="98">
        <v>3674145</v>
      </c>
      <c r="HH13" s="98">
        <v>42757058</v>
      </c>
      <c r="HI13" s="98">
        <v>53445603</v>
      </c>
      <c r="HJ13" s="98">
        <v>2889294</v>
      </c>
      <c r="HK13" s="98">
        <v>3597264</v>
      </c>
      <c r="HL13" s="98">
        <v>15521554</v>
      </c>
      <c r="HM13" s="98">
        <v>29419232</v>
      </c>
      <c r="HN13" s="98">
        <v>659250</v>
      </c>
      <c r="HO13" s="98">
        <v>357364</v>
      </c>
      <c r="HP13" s="98">
        <v>158121</v>
      </c>
      <c r="HQ13" s="98">
        <v>372659</v>
      </c>
      <c r="HR13" s="98">
        <v>4025559</v>
      </c>
      <c r="HS13" s="98">
        <v>5059119</v>
      </c>
      <c r="HT13" s="98">
        <v>360787</v>
      </c>
      <c r="HU13" s="98">
        <v>0</v>
      </c>
      <c r="HV13" s="98">
        <v>1119538</v>
      </c>
      <c r="HW13" s="98">
        <v>981156</v>
      </c>
      <c r="HX13" s="98">
        <v>3195498</v>
      </c>
      <c r="HY13" s="98">
        <v>4173801</v>
      </c>
      <c r="HZ13" s="98">
        <v>4656454</v>
      </c>
      <c r="IA13" s="98">
        <v>6209033</v>
      </c>
      <c r="IB13" s="98">
        <v>402615</v>
      </c>
      <c r="IC13" s="98">
        <v>925936</v>
      </c>
      <c r="ID13" s="98">
        <v>8927693</v>
      </c>
      <c r="IE13" s="98">
        <v>9010470</v>
      </c>
      <c r="IF13" s="98">
        <v>2249354</v>
      </c>
      <c r="IG13" s="98">
        <v>2157286</v>
      </c>
      <c r="IH13" s="98">
        <v>55227</v>
      </c>
      <c r="II13" s="98">
        <v>97141</v>
      </c>
      <c r="IJ13" s="98">
        <v>4733995</v>
      </c>
      <c r="IK13" s="98">
        <v>5061905</v>
      </c>
      <c r="IL13" s="98">
        <v>317294</v>
      </c>
      <c r="IM13" s="98">
        <v>1496214</v>
      </c>
      <c r="IN13" s="98">
        <v>0</v>
      </c>
      <c r="IO13" s="98">
        <v>0</v>
      </c>
      <c r="IP13" s="99">
        <v>0</v>
      </c>
      <c r="IQ13" s="98">
        <v>150</v>
      </c>
      <c r="IR13" s="98">
        <v>27543</v>
      </c>
      <c r="IS13" s="98">
        <v>61367</v>
      </c>
      <c r="IT13" s="98">
        <v>346412</v>
      </c>
      <c r="IU13" s="98">
        <v>330651</v>
      </c>
      <c r="IV13" s="98">
        <v>4824368</v>
      </c>
      <c r="IW13" s="98">
        <v>3525021</v>
      </c>
      <c r="IX13" s="98">
        <v>191255317</v>
      </c>
      <c r="IY13" s="98">
        <v>178569211</v>
      </c>
      <c r="IZ13" s="98">
        <v>437686</v>
      </c>
      <c r="JA13" s="98">
        <v>497418</v>
      </c>
      <c r="JB13" s="98">
        <v>554288</v>
      </c>
      <c r="JC13" s="98">
        <v>531727</v>
      </c>
      <c r="JD13" s="99">
        <v>4785927</v>
      </c>
      <c r="JE13" s="99">
        <v>6015377</v>
      </c>
      <c r="JF13" s="99">
        <v>2684263</v>
      </c>
      <c r="JG13" s="99">
        <v>2624288</v>
      </c>
      <c r="JH13" s="98">
        <v>750650</v>
      </c>
      <c r="JI13" s="98">
        <v>1514961</v>
      </c>
      <c r="JJ13" s="99">
        <v>364135</v>
      </c>
      <c r="JK13" s="98">
        <v>214950</v>
      </c>
      <c r="JL13" s="98">
        <v>186416</v>
      </c>
      <c r="JM13" s="98">
        <v>217856</v>
      </c>
      <c r="JN13" s="98">
        <v>176760</v>
      </c>
      <c r="JO13" s="98">
        <v>0</v>
      </c>
      <c r="JP13" s="98">
        <v>0</v>
      </c>
      <c r="JQ13" s="98">
        <v>0</v>
      </c>
      <c r="JR13" s="98">
        <v>110905</v>
      </c>
      <c r="JS13" s="98">
        <v>92889</v>
      </c>
      <c r="JT13" s="98">
        <v>111291</v>
      </c>
      <c r="JU13" s="98">
        <v>86358</v>
      </c>
      <c r="JV13" s="98">
        <v>622844</v>
      </c>
      <c r="JW13" s="98">
        <v>667288</v>
      </c>
      <c r="JX13" s="98">
        <v>0</v>
      </c>
      <c r="JY13" s="98">
        <v>0</v>
      </c>
      <c r="JZ13" s="98">
        <v>6029</v>
      </c>
      <c r="KA13" s="98">
        <v>92683</v>
      </c>
      <c r="KB13" s="98">
        <v>1247085</v>
      </c>
      <c r="KC13" s="99">
        <v>1520253</v>
      </c>
      <c r="KD13" s="98">
        <v>8685</v>
      </c>
      <c r="KE13" s="98">
        <v>119302</v>
      </c>
      <c r="KF13" s="98">
        <v>987637</v>
      </c>
      <c r="KG13" s="98">
        <v>944851</v>
      </c>
      <c r="KH13" s="98">
        <v>474021</v>
      </c>
      <c r="KI13" s="98">
        <v>0</v>
      </c>
      <c r="KJ13" s="98">
        <v>23544</v>
      </c>
      <c r="KK13" s="98">
        <v>24031</v>
      </c>
      <c r="KL13" s="98">
        <v>999883</v>
      </c>
      <c r="KM13" s="98">
        <v>975939</v>
      </c>
      <c r="KN13" s="98">
        <v>788353</v>
      </c>
      <c r="KO13" s="98">
        <v>391226</v>
      </c>
      <c r="KP13" s="98">
        <v>228743</v>
      </c>
      <c r="KQ13" s="98">
        <v>0</v>
      </c>
      <c r="KR13" s="98">
        <v>3400225</v>
      </c>
      <c r="KS13" s="98">
        <v>3154364</v>
      </c>
      <c r="KT13" s="98">
        <v>2826761</v>
      </c>
      <c r="KU13" s="98">
        <v>4443658</v>
      </c>
      <c r="KV13" s="98">
        <v>0</v>
      </c>
      <c r="KW13" s="98">
        <v>0</v>
      </c>
      <c r="KX13" s="98">
        <v>458652</v>
      </c>
      <c r="KY13" s="98">
        <v>0</v>
      </c>
      <c r="KZ13" s="98">
        <v>842593</v>
      </c>
      <c r="LA13" s="98">
        <v>532298</v>
      </c>
      <c r="LB13" s="98">
        <v>0</v>
      </c>
      <c r="LC13" s="98">
        <v>5196</v>
      </c>
      <c r="LD13" s="98">
        <v>210453</v>
      </c>
      <c r="LE13" s="98">
        <v>452571</v>
      </c>
      <c r="LF13" s="98">
        <v>110730511</v>
      </c>
      <c r="LG13" s="98">
        <v>104141350</v>
      </c>
      <c r="LH13" s="98">
        <v>1071363</v>
      </c>
      <c r="LI13" s="98">
        <v>1180995</v>
      </c>
      <c r="LJ13" s="98">
        <v>217859</v>
      </c>
      <c r="LK13" s="98">
        <v>355821</v>
      </c>
      <c r="LL13" s="98">
        <v>3674145</v>
      </c>
      <c r="LM13" s="98">
        <v>317077</v>
      </c>
      <c r="LN13" s="98">
        <v>53445603</v>
      </c>
      <c r="LO13" s="98">
        <v>37277977</v>
      </c>
      <c r="LP13" s="98">
        <v>3597264</v>
      </c>
      <c r="LQ13" s="98">
        <v>3525505</v>
      </c>
      <c r="LR13" s="98">
        <v>29419232</v>
      </c>
      <c r="LS13" s="98">
        <v>44472000</v>
      </c>
      <c r="LT13" s="98">
        <v>357364</v>
      </c>
      <c r="LU13" s="98">
        <v>78770</v>
      </c>
      <c r="LV13" s="98">
        <v>372659</v>
      </c>
      <c r="LW13" s="98">
        <v>279126</v>
      </c>
      <c r="LX13" s="98">
        <v>5059119</v>
      </c>
      <c r="LY13" s="98">
        <v>5608301</v>
      </c>
      <c r="LZ13" s="98">
        <v>0</v>
      </c>
      <c r="MA13" s="98">
        <v>0</v>
      </c>
      <c r="MB13" s="98">
        <v>981156</v>
      </c>
      <c r="MC13" s="98">
        <v>83022</v>
      </c>
      <c r="MD13" s="98">
        <v>4173801</v>
      </c>
      <c r="ME13" s="98">
        <v>1987986</v>
      </c>
      <c r="MF13" s="98">
        <v>6209033</v>
      </c>
      <c r="MG13" s="98">
        <v>8765200</v>
      </c>
      <c r="MH13" s="98">
        <v>925936</v>
      </c>
      <c r="MI13" s="98">
        <v>1296062</v>
      </c>
      <c r="MJ13" s="98">
        <v>9010470</v>
      </c>
      <c r="MK13" s="98">
        <v>11747631</v>
      </c>
      <c r="ML13" s="98">
        <v>2157286</v>
      </c>
      <c r="MM13" s="98">
        <v>2592577</v>
      </c>
      <c r="MN13" s="98">
        <v>97141</v>
      </c>
      <c r="MO13" s="98">
        <v>214812</v>
      </c>
      <c r="MP13" s="98">
        <v>5061905</v>
      </c>
      <c r="MQ13" s="98">
        <v>4237105</v>
      </c>
      <c r="MR13" s="98">
        <v>1496214</v>
      </c>
      <c r="MS13" s="98">
        <v>2775575</v>
      </c>
      <c r="MT13" s="98">
        <v>60310</v>
      </c>
      <c r="MU13" s="98">
        <v>60310</v>
      </c>
      <c r="MV13" s="98">
        <v>150</v>
      </c>
      <c r="MW13" s="98">
        <v>255</v>
      </c>
      <c r="MX13" s="98">
        <v>61367</v>
      </c>
      <c r="MY13" s="98">
        <v>20890</v>
      </c>
      <c r="MZ13" s="98">
        <v>330651</v>
      </c>
      <c r="NA13" s="98">
        <v>513434</v>
      </c>
      <c r="NB13" s="98">
        <v>3525021</v>
      </c>
      <c r="NC13" s="98">
        <v>1279833</v>
      </c>
      <c r="ND13" s="98">
        <v>178569211</v>
      </c>
      <c r="NE13" s="98">
        <v>200306920</v>
      </c>
      <c r="NF13" s="98">
        <v>497418</v>
      </c>
      <c r="NG13" s="98">
        <v>426688</v>
      </c>
      <c r="NH13" s="759">
        <v>531727</v>
      </c>
      <c r="NI13" s="759">
        <f t="shared" ref="NI13:OS13" si="5">SUM(NI10:NI12)</f>
        <v>369793</v>
      </c>
      <c r="NJ13" s="393">
        <f t="shared" si="5"/>
        <v>6335707</v>
      </c>
      <c r="NK13" s="393">
        <f t="shared" si="5"/>
        <v>9573388</v>
      </c>
      <c r="NL13" s="393">
        <v>2624288</v>
      </c>
      <c r="NM13" s="393">
        <f t="shared" si="5"/>
        <v>2613333</v>
      </c>
      <c r="NN13" s="759">
        <f t="shared" si="5"/>
        <v>1517858</v>
      </c>
      <c r="NO13" s="759">
        <f t="shared" si="5"/>
        <v>1153294</v>
      </c>
      <c r="NP13" s="393">
        <v>214950</v>
      </c>
      <c r="NQ13" s="759">
        <f t="shared" si="5"/>
        <v>286057</v>
      </c>
      <c r="NR13" s="759">
        <v>217856</v>
      </c>
      <c r="NS13" s="759">
        <f t="shared" si="5"/>
        <v>85748</v>
      </c>
      <c r="NT13" s="759">
        <v>176760</v>
      </c>
      <c r="NU13" s="759">
        <f t="shared" si="5"/>
        <v>0</v>
      </c>
      <c r="NV13" s="759">
        <f t="shared" si="5"/>
        <v>0</v>
      </c>
      <c r="NW13" s="759">
        <f t="shared" si="5"/>
        <v>0</v>
      </c>
      <c r="NX13" s="759">
        <f t="shared" si="5"/>
        <v>112424</v>
      </c>
      <c r="NY13" s="759">
        <f t="shared" si="5"/>
        <v>123592</v>
      </c>
      <c r="NZ13" s="759">
        <f>SUM(NZ10:NZ12)</f>
        <v>89004</v>
      </c>
      <c r="OA13" s="759">
        <f t="shared" si="5"/>
        <v>160831</v>
      </c>
      <c r="OB13" s="759">
        <v>667288</v>
      </c>
      <c r="OC13" s="759">
        <f>SUM(OC10:OC12)</f>
        <v>782007</v>
      </c>
      <c r="OD13" s="759">
        <f t="shared" si="5"/>
        <v>0</v>
      </c>
      <c r="OE13" s="759">
        <f t="shared" si="5"/>
        <v>0</v>
      </c>
      <c r="OF13" s="759">
        <f t="shared" si="5"/>
        <v>116852</v>
      </c>
      <c r="OG13" s="759">
        <f t="shared" si="5"/>
        <v>126949</v>
      </c>
      <c r="OH13" s="759">
        <v>1520253</v>
      </c>
      <c r="OI13" s="393">
        <f t="shared" si="5"/>
        <v>1395477</v>
      </c>
      <c r="OJ13" s="759">
        <v>119302</v>
      </c>
      <c r="OK13" s="759">
        <f t="shared" si="5"/>
        <v>101018</v>
      </c>
      <c r="OL13" s="759">
        <f>SUM(OL10:OL12)</f>
        <v>944851</v>
      </c>
      <c r="OM13" s="759">
        <f t="shared" si="5"/>
        <v>2554295</v>
      </c>
      <c r="ON13" s="759">
        <f>SUM(ON10:ON12)</f>
        <v>0</v>
      </c>
      <c r="OO13" s="759">
        <f t="shared" si="5"/>
        <v>156848</v>
      </c>
      <c r="OP13" s="759">
        <v>24031</v>
      </c>
      <c r="OQ13" s="759">
        <f t="shared" si="5"/>
        <v>5368</v>
      </c>
      <c r="OR13" s="759">
        <v>975939</v>
      </c>
      <c r="OS13" s="759">
        <f t="shared" si="5"/>
        <v>0</v>
      </c>
      <c r="OT13" s="759">
        <v>391226</v>
      </c>
      <c r="OU13" s="759">
        <f t="shared" ref="OU13:PC13" si="6">SUM(OU10:OU12)</f>
        <v>754066</v>
      </c>
      <c r="OV13" s="759">
        <f>SUM(OV10:OV12)</f>
        <v>0</v>
      </c>
      <c r="OW13" s="759">
        <f t="shared" si="6"/>
        <v>156536</v>
      </c>
      <c r="OX13" s="759">
        <v>3154364</v>
      </c>
      <c r="OY13" s="759">
        <f t="shared" si="6"/>
        <v>6958515</v>
      </c>
      <c r="OZ13" s="759">
        <v>4443658</v>
      </c>
      <c r="PA13" s="759">
        <f t="shared" si="6"/>
        <v>732579</v>
      </c>
      <c r="PB13" s="759">
        <f>SUM(PB10:PB12)</f>
        <v>38684</v>
      </c>
      <c r="PC13" s="759">
        <f t="shared" si="6"/>
        <v>34100</v>
      </c>
      <c r="PD13" s="759">
        <f>SUM(PD10:PD12)</f>
        <v>0</v>
      </c>
      <c r="PE13" s="759">
        <f>SUM(PE10:PE12)</f>
        <v>0</v>
      </c>
      <c r="PF13" s="759">
        <v>532298</v>
      </c>
      <c r="PG13" s="759">
        <f t="shared" ref="PG13:PW13" si="7">SUM(PG10:PG12)</f>
        <v>597618</v>
      </c>
      <c r="PH13" s="759">
        <v>5196</v>
      </c>
      <c r="PI13" s="759">
        <f>SUM(PI10:PI12)</f>
        <v>0</v>
      </c>
      <c r="PJ13" s="759">
        <v>452571</v>
      </c>
      <c r="PK13" s="759">
        <f t="shared" si="7"/>
        <v>343289</v>
      </c>
      <c r="PL13" s="759">
        <f>SUM(PL10:PL12)</f>
        <v>76724735</v>
      </c>
      <c r="PM13" s="759">
        <f t="shared" si="7"/>
        <v>84034112</v>
      </c>
      <c r="PN13" s="759">
        <f>SUM(PN10:PN12)</f>
        <v>1603731</v>
      </c>
      <c r="PO13" s="759">
        <f t="shared" si="7"/>
        <v>2241970</v>
      </c>
      <c r="PP13" s="759">
        <f t="shared" si="7"/>
        <v>358832</v>
      </c>
      <c r="PQ13" s="759">
        <f t="shared" si="7"/>
        <v>326077</v>
      </c>
      <c r="PR13" s="759">
        <v>317077</v>
      </c>
      <c r="PS13" s="759">
        <f t="shared" si="7"/>
        <v>789463</v>
      </c>
      <c r="PT13" s="759">
        <f>SUM(PT10:PT12)</f>
        <v>36313888</v>
      </c>
      <c r="PU13" s="759">
        <f t="shared" si="7"/>
        <v>43424387</v>
      </c>
      <c r="PV13" s="759">
        <f>SUM(PV10:PV12)</f>
        <v>3597264</v>
      </c>
      <c r="PW13" s="759">
        <f t="shared" si="7"/>
        <v>3525505</v>
      </c>
      <c r="PX13" s="759">
        <f>SUM(PX10:PX12)</f>
        <v>44457000</v>
      </c>
      <c r="PY13" s="759">
        <f>SUM(PY10:PY12)</f>
        <v>77933000</v>
      </c>
      <c r="PZ13" s="759">
        <v>78770</v>
      </c>
      <c r="QA13" s="759">
        <f t="shared" ref="QA13:QI13" si="8">SUM(QA10:QA12)</f>
        <v>72783</v>
      </c>
      <c r="QB13" s="759">
        <v>279126</v>
      </c>
      <c r="QC13" s="759">
        <f t="shared" si="8"/>
        <v>416346</v>
      </c>
      <c r="QD13" s="759">
        <v>5608301</v>
      </c>
      <c r="QE13" s="759">
        <f>SUM(QE10:QE12)</f>
        <v>6704574</v>
      </c>
      <c r="QF13" s="759">
        <f t="shared" si="8"/>
        <v>0</v>
      </c>
      <c r="QG13" s="759">
        <f t="shared" si="8"/>
        <v>0</v>
      </c>
      <c r="QH13" s="759">
        <v>83022</v>
      </c>
      <c r="QI13" s="759">
        <f t="shared" si="8"/>
        <v>1492683</v>
      </c>
      <c r="QJ13" s="759">
        <v>1987986</v>
      </c>
      <c r="QK13" s="759">
        <f t="shared" ref="QK13:RM13" si="9">SUM(QK10:QK12)</f>
        <v>1312589</v>
      </c>
      <c r="QL13" s="759">
        <v>8765200</v>
      </c>
      <c r="QM13" s="759">
        <f t="shared" si="9"/>
        <v>10385965</v>
      </c>
      <c r="QN13" s="759">
        <f t="shared" si="9"/>
        <v>925936</v>
      </c>
      <c r="QO13" s="759">
        <f t="shared" si="9"/>
        <v>1296062</v>
      </c>
      <c r="QP13" s="759">
        <v>11747631</v>
      </c>
      <c r="QQ13" s="759">
        <f t="shared" si="9"/>
        <v>14437081</v>
      </c>
      <c r="QR13" s="759">
        <v>2592577</v>
      </c>
      <c r="QS13" s="759">
        <f t="shared" si="9"/>
        <v>4203395</v>
      </c>
      <c r="QT13" s="759">
        <v>214812</v>
      </c>
      <c r="QU13" s="759">
        <f t="shared" si="9"/>
        <v>359915</v>
      </c>
      <c r="QV13" s="759">
        <f t="shared" si="9"/>
        <v>5061905</v>
      </c>
      <c r="QW13" s="759">
        <f t="shared" si="9"/>
        <v>4237105</v>
      </c>
      <c r="QX13" s="759">
        <f t="shared" si="9"/>
        <v>2483514</v>
      </c>
      <c r="QY13" s="759">
        <f t="shared" si="9"/>
        <v>1869677</v>
      </c>
      <c r="QZ13" s="759">
        <f t="shared" si="9"/>
        <v>60310</v>
      </c>
      <c r="RA13" s="759">
        <f t="shared" si="9"/>
        <v>60310</v>
      </c>
      <c r="RB13" s="759">
        <v>255</v>
      </c>
      <c r="RC13" s="759">
        <f t="shared" si="9"/>
        <v>2118</v>
      </c>
      <c r="RD13" s="759">
        <f t="shared" si="9"/>
        <v>61367</v>
      </c>
      <c r="RE13" s="759">
        <f t="shared" si="9"/>
        <v>20890</v>
      </c>
      <c r="RF13" s="759">
        <v>513434</v>
      </c>
      <c r="RG13" s="759">
        <f t="shared" si="9"/>
        <v>0</v>
      </c>
      <c r="RH13" s="759">
        <f t="shared" si="9"/>
        <v>3525021</v>
      </c>
      <c r="RI13" s="759">
        <f t="shared" si="9"/>
        <v>1279833</v>
      </c>
      <c r="RJ13" s="759">
        <f t="shared" si="9"/>
        <v>196893085</v>
      </c>
      <c r="RK13" s="759">
        <f>SUM(RK10:RK12)</f>
        <v>228899537</v>
      </c>
      <c r="RL13" s="759">
        <v>426688</v>
      </c>
      <c r="RM13" s="759">
        <f t="shared" si="9"/>
        <v>534291</v>
      </c>
      <c r="RN13" s="98">
        <v>418997</v>
      </c>
      <c r="RO13" s="98">
        <v>454857</v>
      </c>
      <c r="RP13" s="98">
        <v>9719539</v>
      </c>
      <c r="RQ13" s="98">
        <v>7719764</v>
      </c>
      <c r="RR13" s="99">
        <v>2613333</v>
      </c>
      <c r="RS13" s="98">
        <v>2495888</v>
      </c>
      <c r="RT13" s="98">
        <v>1139158</v>
      </c>
      <c r="RU13" s="98">
        <v>685075</v>
      </c>
      <c r="RV13" s="98">
        <v>286057</v>
      </c>
      <c r="RW13" s="98">
        <v>317915</v>
      </c>
      <c r="RX13" s="98">
        <v>138607</v>
      </c>
      <c r="RY13" s="98">
        <v>140617</v>
      </c>
      <c r="RZ13" s="98">
        <v>0</v>
      </c>
      <c r="SA13" s="98">
        <v>0</v>
      </c>
      <c r="SB13" s="98">
        <v>0</v>
      </c>
      <c r="SC13" s="98">
        <v>0</v>
      </c>
      <c r="SD13" s="98">
        <v>123592</v>
      </c>
      <c r="SE13" s="98">
        <v>82320</v>
      </c>
      <c r="SF13" s="98">
        <v>280836</v>
      </c>
      <c r="SG13" s="98">
        <v>187180</v>
      </c>
      <c r="SH13" s="98">
        <v>782007</v>
      </c>
      <c r="SI13" s="98">
        <v>763561</v>
      </c>
      <c r="SJ13" s="98">
        <v>0</v>
      </c>
      <c r="SK13" s="98">
        <v>0</v>
      </c>
      <c r="SL13" s="98">
        <v>126949</v>
      </c>
      <c r="SM13" s="98">
        <v>150086</v>
      </c>
      <c r="SN13" s="99">
        <v>1395477</v>
      </c>
      <c r="SO13" s="98">
        <v>1183950</v>
      </c>
      <c r="SP13" s="98">
        <v>101018</v>
      </c>
      <c r="SQ13" s="98">
        <v>172551</v>
      </c>
      <c r="SR13" s="98">
        <v>2731823</v>
      </c>
      <c r="SS13" s="98">
        <v>3127510</v>
      </c>
      <c r="ST13" s="98">
        <v>156848</v>
      </c>
      <c r="SU13" s="98"/>
      <c r="SV13" s="98">
        <v>7757</v>
      </c>
      <c r="SW13" s="98">
        <v>26950</v>
      </c>
      <c r="SX13" s="98">
        <v>912304</v>
      </c>
      <c r="SY13" s="98">
        <v>150761</v>
      </c>
      <c r="SZ13" s="98">
        <v>754065</v>
      </c>
      <c r="TA13" s="98">
        <v>1343037</v>
      </c>
      <c r="TB13" s="98">
        <v>156536</v>
      </c>
      <c r="TC13" s="98">
        <v>0</v>
      </c>
      <c r="TD13" s="98">
        <v>6675175</v>
      </c>
      <c r="TE13" s="98">
        <v>8068153</v>
      </c>
      <c r="TF13" s="98">
        <v>720393</v>
      </c>
      <c r="TG13" s="98">
        <v>684050</v>
      </c>
      <c r="TH13" s="98">
        <v>36629</v>
      </c>
      <c r="TI13" s="98">
        <v>83729</v>
      </c>
      <c r="TJ13" s="98">
        <v>0</v>
      </c>
      <c r="TK13" s="98">
        <v>0</v>
      </c>
      <c r="TL13" s="98">
        <v>385109</v>
      </c>
      <c r="TM13" s="98">
        <v>1029699</v>
      </c>
      <c r="TN13" s="98">
        <v>0</v>
      </c>
      <c r="TO13" s="98">
        <v>9781</v>
      </c>
      <c r="TP13" s="98">
        <v>904616</v>
      </c>
      <c r="TQ13" s="98">
        <v>809648</v>
      </c>
      <c r="TR13" s="98">
        <v>84034112</v>
      </c>
      <c r="TS13" s="98">
        <v>78402022</v>
      </c>
      <c r="TT13" s="98">
        <v>2304998</v>
      </c>
      <c r="TU13" s="98">
        <v>1688352</v>
      </c>
      <c r="TV13" s="98">
        <v>244698000</v>
      </c>
      <c r="TW13" s="98">
        <v>461815000</v>
      </c>
      <c r="TX13" s="98">
        <v>789463</v>
      </c>
      <c r="TY13" s="98">
        <v>1079524</v>
      </c>
      <c r="TZ13" s="98">
        <v>43424387</v>
      </c>
      <c r="UA13" s="98">
        <v>51023687</v>
      </c>
      <c r="UB13" s="98">
        <v>3525505</v>
      </c>
      <c r="UC13" s="98">
        <v>0</v>
      </c>
      <c r="UD13" s="98">
        <v>77933000</v>
      </c>
      <c r="UE13" s="98">
        <v>66922000</v>
      </c>
      <c r="UF13" s="98">
        <v>72783</v>
      </c>
      <c r="UG13" s="98">
        <v>657601</v>
      </c>
      <c r="UH13" s="98">
        <v>416346</v>
      </c>
      <c r="UI13" s="98">
        <v>982271</v>
      </c>
      <c r="UJ13" s="98">
        <v>8316342</v>
      </c>
      <c r="UK13" s="98">
        <v>7225779</v>
      </c>
      <c r="UL13" s="98">
        <v>0</v>
      </c>
      <c r="UM13" s="98">
        <v>0</v>
      </c>
      <c r="UN13" s="98">
        <v>1492683</v>
      </c>
      <c r="UO13" s="98">
        <v>1847034</v>
      </c>
      <c r="UP13" s="98">
        <v>2279892</v>
      </c>
      <c r="UQ13" s="98">
        <v>1770878</v>
      </c>
      <c r="UR13" s="98">
        <v>10385964</v>
      </c>
      <c r="US13" s="98">
        <v>17345387</v>
      </c>
      <c r="UT13" s="98">
        <v>1296062</v>
      </c>
      <c r="UU13" s="98">
        <v>0</v>
      </c>
      <c r="UV13" s="98">
        <v>14437081</v>
      </c>
      <c r="UW13" s="98">
        <v>14990870</v>
      </c>
      <c r="UX13" s="98">
        <v>5078990</v>
      </c>
      <c r="UY13" s="98">
        <v>4398511</v>
      </c>
      <c r="UZ13" s="98">
        <v>359915</v>
      </c>
      <c r="VA13" s="98">
        <v>357381</v>
      </c>
      <c r="VB13" s="98">
        <v>4255801</v>
      </c>
      <c r="VC13" s="98">
        <v>6491805</v>
      </c>
      <c r="VD13" s="98">
        <v>2108149</v>
      </c>
      <c r="VE13" s="98">
        <v>2899251</v>
      </c>
      <c r="VF13" s="98">
        <v>60310</v>
      </c>
      <c r="VG13" s="98">
        <v>0</v>
      </c>
      <c r="VH13" s="98">
        <v>2118</v>
      </c>
      <c r="VI13" s="98">
        <v>612</v>
      </c>
      <c r="VJ13" s="98">
        <v>6241</v>
      </c>
      <c r="VK13" s="98">
        <v>11679</v>
      </c>
      <c r="VL13" s="98">
        <v>0</v>
      </c>
      <c r="VM13" s="98">
        <v>110501</v>
      </c>
      <c r="VN13" s="98">
        <v>1279833</v>
      </c>
      <c r="VO13" s="98">
        <v>0</v>
      </c>
      <c r="VP13" s="98">
        <v>228899537</v>
      </c>
      <c r="VQ13" s="98">
        <v>236131150</v>
      </c>
      <c r="VR13" s="98">
        <v>534291</v>
      </c>
      <c r="VS13" s="98">
        <v>725639</v>
      </c>
      <c r="VT13" s="98">
        <v>454857</v>
      </c>
      <c r="VU13" s="98">
        <v>537786</v>
      </c>
      <c r="VV13" s="98">
        <v>8213622</v>
      </c>
      <c r="VW13" s="98">
        <v>8890425</v>
      </c>
      <c r="VX13" s="99">
        <v>2495888</v>
      </c>
      <c r="VY13" s="98">
        <v>2598404</v>
      </c>
      <c r="VZ13" s="98">
        <v>685075</v>
      </c>
      <c r="WA13" s="98">
        <v>346997</v>
      </c>
      <c r="WB13" s="98">
        <v>317915</v>
      </c>
      <c r="WC13" s="98">
        <v>85005</v>
      </c>
      <c r="WD13" s="98">
        <v>140617</v>
      </c>
      <c r="WE13" s="98">
        <v>87639</v>
      </c>
      <c r="WF13" s="98">
        <v>0</v>
      </c>
      <c r="WG13" s="98">
        <v>0</v>
      </c>
      <c r="WH13" s="98">
        <v>0</v>
      </c>
      <c r="WI13" s="98">
        <v>0</v>
      </c>
      <c r="WJ13" s="98">
        <v>82320</v>
      </c>
      <c r="WK13" s="98">
        <v>110775</v>
      </c>
      <c r="WL13" s="98">
        <v>186896</v>
      </c>
      <c r="WM13" s="98">
        <v>98970</v>
      </c>
      <c r="WN13" s="98">
        <v>763561</v>
      </c>
      <c r="WO13" s="98">
        <v>832684</v>
      </c>
      <c r="WP13" s="98">
        <v>0</v>
      </c>
      <c r="WQ13" s="98">
        <v>0</v>
      </c>
      <c r="WR13" s="98">
        <v>177708</v>
      </c>
      <c r="WS13" s="98">
        <v>208401</v>
      </c>
      <c r="WT13" s="99">
        <v>1183950</v>
      </c>
      <c r="WU13" s="98">
        <v>656230</v>
      </c>
      <c r="WV13" s="98">
        <v>172551</v>
      </c>
      <c r="WW13" s="98">
        <v>115121</v>
      </c>
      <c r="WX13" s="98">
        <v>3127510</v>
      </c>
      <c r="WY13" s="98">
        <v>2908085</v>
      </c>
      <c r="WZ13" s="98">
        <v>0</v>
      </c>
      <c r="XA13" s="98">
        <v>124499</v>
      </c>
      <c r="XB13" s="98">
        <v>26950</v>
      </c>
      <c r="XC13" s="98">
        <v>55847</v>
      </c>
      <c r="XD13" s="98">
        <v>339032</v>
      </c>
      <c r="XE13" s="98">
        <v>1128317</v>
      </c>
      <c r="XF13" s="98">
        <v>1343037</v>
      </c>
      <c r="XG13" s="98">
        <v>1197228</v>
      </c>
      <c r="XH13" s="98">
        <v>102528</v>
      </c>
      <c r="XI13" s="98">
        <v>242846</v>
      </c>
      <c r="XJ13" s="98">
        <v>8068153</v>
      </c>
      <c r="XK13" s="98">
        <v>7919597</v>
      </c>
      <c r="XL13" s="98">
        <v>684050</v>
      </c>
      <c r="XM13" s="98">
        <v>661512</v>
      </c>
      <c r="XN13" s="98">
        <v>74983</v>
      </c>
      <c r="XO13" s="98">
        <v>0</v>
      </c>
      <c r="XP13" s="98">
        <v>0</v>
      </c>
      <c r="XQ13" s="98">
        <v>0</v>
      </c>
      <c r="XR13" s="98">
        <v>1029699</v>
      </c>
      <c r="XS13" s="98">
        <v>913420</v>
      </c>
      <c r="XT13" s="98">
        <v>9781</v>
      </c>
      <c r="XU13" s="98">
        <v>332027</v>
      </c>
      <c r="XV13" s="98">
        <v>1071092</v>
      </c>
      <c r="XW13" s="98">
        <v>1047268</v>
      </c>
      <c r="XX13" s="98">
        <v>78402022</v>
      </c>
      <c r="XY13" s="98">
        <v>76260302</v>
      </c>
      <c r="XZ13" s="98">
        <v>2301475</v>
      </c>
      <c r="YA13" s="98">
        <v>3905538</v>
      </c>
      <c r="YB13" s="98">
        <v>461815</v>
      </c>
      <c r="YC13" s="98">
        <v>392978</v>
      </c>
      <c r="YD13" s="98">
        <v>1167153</v>
      </c>
      <c r="YE13" s="98">
        <v>1260250</v>
      </c>
      <c r="YF13" s="98">
        <v>51023687</v>
      </c>
      <c r="YG13" s="98">
        <v>36619119</v>
      </c>
      <c r="YH13" s="98">
        <v>0</v>
      </c>
      <c r="YI13" s="98">
        <v>0</v>
      </c>
      <c r="YJ13" s="98">
        <v>66922000</v>
      </c>
      <c r="YK13" s="98">
        <v>0</v>
      </c>
      <c r="YL13" s="98">
        <v>691503158</v>
      </c>
      <c r="YM13" s="98">
        <v>1224078740</v>
      </c>
      <c r="YN13" s="98">
        <v>982271</v>
      </c>
      <c r="YO13" s="98">
        <v>815107</v>
      </c>
      <c r="YP13" s="98">
        <v>7225779</v>
      </c>
      <c r="YQ13" s="98">
        <v>5239842</v>
      </c>
      <c r="YR13" s="98">
        <v>0</v>
      </c>
      <c r="YS13" s="98">
        <v>0</v>
      </c>
      <c r="YT13" s="98">
        <v>1847034</v>
      </c>
      <c r="YU13" s="98">
        <v>30336</v>
      </c>
      <c r="YV13" s="98">
        <v>1770878</v>
      </c>
      <c r="YW13" s="98">
        <v>1951956</v>
      </c>
      <c r="YX13" s="98">
        <v>17345387</v>
      </c>
      <c r="YY13" s="98">
        <v>18826384</v>
      </c>
      <c r="YZ13" s="98">
        <v>875928</v>
      </c>
      <c r="ZA13" s="98">
        <v>959728</v>
      </c>
      <c r="ZB13" s="98">
        <v>14990870</v>
      </c>
      <c r="ZC13" s="98">
        <v>15890977</v>
      </c>
      <c r="ZD13" s="98">
        <v>4398511</v>
      </c>
      <c r="ZE13" s="98">
        <v>3902783</v>
      </c>
      <c r="ZF13" s="98">
        <v>357381</v>
      </c>
      <c r="ZG13" s="98">
        <v>399616</v>
      </c>
      <c r="ZH13" s="98">
        <v>6491805</v>
      </c>
      <c r="ZI13" s="98">
        <v>11336805</v>
      </c>
      <c r="ZJ13" s="98">
        <v>2899251</v>
      </c>
      <c r="ZK13" s="98">
        <v>2821317</v>
      </c>
      <c r="ZL13" s="98">
        <v>0</v>
      </c>
      <c r="ZM13" s="98">
        <v>0</v>
      </c>
      <c r="ZN13" s="98">
        <v>612</v>
      </c>
      <c r="ZO13" s="98">
        <v>11032</v>
      </c>
      <c r="ZP13" s="98">
        <v>11679</v>
      </c>
      <c r="ZQ13" s="98">
        <v>0</v>
      </c>
      <c r="ZR13" s="98">
        <v>110501</v>
      </c>
      <c r="ZS13" s="98">
        <v>57657</v>
      </c>
      <c r="ZT13" s="98">
        <v>0</v>
      </c>
      <c r="ZU13" s="98">
        <v>0</v>
      </c>
      <c r="ZV13" s="98">
        <v>236131150</v>
      </c>
      <c r="ZW13" s="98">
        <v>246712765</v>
      </c>
      <c r="ZX13" s="98">
        <v>742244</v>
      </c>
      <c r="ZY13" s="98">
        <v>703787</v>
      </c>
      <c r="ZZ13" s="605"/>
      <c r="AAA13" s="605"/>
      <c r="AAB13" s="605"/>
      <c r="AAC13" s="605"/>
      <c r="AAD13" s="605"/>
      <c r="AAE13" s="605"/>
      <c r="AAF13" s="605"/>
      <c r="AAG13" s="605"/>
      <c r="AAH13" s="605"/>
      <c r="AAI13" s="605"/>
      <c r="AAJ13" s="605"/>
      <c r="AAK13" s="605"/>
      <c r="AAL13" s="605"/>
      <c r="AAM13" s="605"/>
      <c r="AAN13" s="605"/>
      <c r="AAO13" s="605"/>
      <c r="AAP13" s="605"/>
      <c r="AAQ13" s="605"/>
      <c r="AAR13" s="605"/>
      <c r="AAS13" s="605"/>
      <c r="AAT13" s="605"/>
      <c r="AAU13" s="605"/>
      <c r="AAV13" s="605"/>
      <c r="AAW13" s="605"/>
      <c r="AAX13" s="605"/>
      <c r="AAY13" s="605"/>
      <c r="AAZ13" s="605"/>
      <c r="ABA13" s="605"/>
      <c r="ABB13" s="605"/>
      <c r="ABC13" s="605"/>
      <c r="ABD13" s="605"/>
      <c r="ABE13" s="605"/>
      <c r="ABF13" s="605"/>
      <c r="ABG13" s="605"/>
      <c r="ABH13" s="605"/>
      <c r="ABI13" s="605"/>
      <c r="ABJ13" s="605"/>
      <c r="ABK13" s="605"/>
      <c r="ABL13" s="605"/>
      <c r="ABM13" s="605"/>
      <c r="ABN13" s="605"/>
      <c r="ABO13" s="605"/>
      <c r="ABP13" s="605"/>
      <c r="ABQ13" s="605"/>
      <c r="ABR13" s="605"/>
      <c r="ABS13" s="605"/>
      <c r="ABT13" s="605"/>
      <c r="ABU13" s="605"/>
      <c r="ABV13" s="605"/>
      <c r="ABW13" s="605"/>
      <c r="ABX13" s="605"/>
      <c r="ABY13" s="605"/>
      <c r="ABZ13" s="605"/>
      <c r="ACA13" s="605"/>
      <c r="ACB13" s="605"/>
      <c r="ACC13" s="605"/>
      <c r="ACD13" s="605"/>
      <c r="ACE13" s="605"/>
      <c r="ACF13" s="605"/>
      <c r="ACG13" s="605"/>
      <c r="ACH13" s="605"/>
      <c r="ACI13" s="605"/>
      <c r="ACJ13" s="605"/>
      <c r="ACK13" s="605"/>
      <c r="ACL13" s="605"/>
      <c r="ACM13" s="605"/>
      <c r="ACN13" s="605"/>
      <c r="ACO13" s="605"/>
      <c r="ACP13" s="605"/>
      <c r="ACQ13" s="605"/>
      <c r="ACR13" s="605"/>
      <c r="ACS13" s="605"/>
      <c r="ACT13" s="605"/>
      <c r="ACU13" s="605"/>
      <c r="ACV13" s="605"/>
      <c r="ACW13" s="605"/>
      <c r="ACX13" s="605"/>
      <c r="ACY13" s="605"/>
      <c r="ACZ13" s="605"/>
      <c r="ADA13" s="605"/>
      <c r="ADB13" s="605"/>
      <c r="ADC13" s="605"/>
      <c r="ADD13" s="605"/>
      <c r="ADE13" s="605"/>
      <c r="ADF13" s="605"/>
      <c r="ADG13" s="605"/>
      <c r="ADH13" s="605"/>
      <c r="ADI13" s="605"/>
      <c r="ADJ13" s="605"/>
      <c r="ADK13" s="605"/>
      <c r="ADL13" s="605"/>
      <c r="ADM13" s="605"/>
      <c r="ADN13" s="605"/>
      <c r="ADO13" s="605"/>
      <c r="ADP13" s="605"/>
      <c r="ADQ13" s="605"/>
      <c r="ADR13" s="605"/>
      <c r="ADS13" s="605"/>
      <c r="ADT13" s="605"/>
      <c r="ADU13" s="605"/>
      <c r="ADV13" s="605"/>
      <c r="ADW13" s="605"/>
      <c r="ADX13" s="605"/>
      <c r="ADY13" s="605"/>
      <c r="ADZ13" s="605"/>
      <c r="AEA13" s="605"/>
      <c r="AEB13" s="605"/>
      <c r="AEC13" s="605"/>
      <c r="AED13" s="605"/>
      <c r="AEE13" s="605"/>
      <c r="AEF13" s="605"/>
      <c r="AEG13" s="605"/>
      <c r="AEH13" s="605"/>
      <c r="AEI13" s="605"/>
      <c r="AEJ13" s="605"/>
      <c r="AEK13" s="605"/>
      <c r="AEL13" s="605"/>
      <c r="AEM13" s="605"/>
      <c r="AEN13" s="605"/>
      <c r="AEO13" s="605"/>
      <c r="AEP13" s="605"/>
      <c r="AEQ13" s="605"/>
      <c r="AER13" s="605"/>
      <c r="AES13" s="605"/>
      <c r="AET13" s="605"/>
      <c r="AEU13" s="605"/>
      <c r="AEV13" s="605"/>
      <c r="AEW13" s="605"/>
      <c r="AEX13" s="605"/>
      <c r="AEY13" s="605"/>
      <c r="AEZ13" s="605"/>
      <c r="AFA13" s="605"/>
      <c r="AFB13" s="605"/>
      <c r="AFC13" s="605"/>
      <c r="AFD13" s="605"/>
      <c r="AFE13" s="605"/>
      <c r="AFF13" s="605"/>
      <c r="AFG13" s="605"/>
      <c r="AFH13" s="605"/>
      <c r="AFI13" s="605"/>
      <c r="AFJ13" s="605"/>
      <c r="AFK13" s="605"/>
      <c r="AFL13" s="605"/>
      <c r="AFM13" s="605"/>
      <c r="AFN13" s="605"/>
      <c r="AFO13" s="605"/>
      <c r="AFP13" s="605"/>
      <c r="AFQ13" s="605"/>
      <c r="AFR13" s="605"/>
      <c r="AFS13" s="605"/>
      <c r="AFT13" s="605"/>
      <c r="AFU13" s="605"/>
      <c r="AFV13" s="605"/>
      <c r="AFW13" s="605"/>
      <c r="AFX13" s="605"/>
      <c r="AFY13" s="605"/>
      <c r="AFZ13" s="605"/>
      <c r="AGA13" s="605"/>
      <c r="AGB13" s="605"/>
      <c r="AGC13" s="605"/>
      <c r="AGD13" s="605"/>
      <c r="AGE13" s="605"/>
      <c r="AGF13" s="605"/>
      <c r="AGG13" s="605"/>
      <c r="AGH13" s="605"/>
      <c r="AGI13" s="605"/>
      <c r="AGJ13" s="605"/>
      <c r="AGK13" s="605"/>
      <c r="AGL13" s="605"/>
      <c r="AGM13" s="605"/>
      <c r="AGN13" s="605"/>
      <c r="AGO13" s="605"/>
      <c r="AGP13" s="605"/>
      <c r="AGQ13" s="605"/>
      <c r="AGR13" s="605"/>
      <c r="AGS13" s="605"/>
      <c r="AGT13" s="605"/>
      <c r="AGU13" s="605"/>
      <c r="AGV13" s="605"/>
      <c r="AGW13" s="605"/>
      <c r="AGX13" s="605"/>
      <c r="AGY13" s="605"/>
      <c r="AGZ13" s="605"/>
      <c r="AHA13" s="605"/>
      <c r="AHB13" s="605"/>
      <c r="AHC13" s="605"/>
      <c r="AHD13" s="605"/>
      <c r="AHE13" s="605"/>
      <c r="AHF13" s="605"/>
      <c r="AHG13" s="605"/>
      <c r="AHH13" s="605"/>
      <c r="AHI13" s="605"/>
      <c r="AHJ13" s="605"/>
      <c r="AHK13" s="605"/>
      <c r="AHL13" s="605"/>
      <c r="AHM13" s="605"/>
      <c r="AHN13" s="605"/>
      <c r="AHO13" s="605"/>
      <c r="AHP13" s="605"/>
      <c r="AHQ13" s="605"/>
      <c r="AHR13" s="605"/>
      <c r="AHS13" s="605"/>
      <c r="AHT13" s="605"/>
      <c r="AHU13" s="605"/>
      <c r="AHV13" s="605"/>
      <c r="AHW13" s="605"/>
      <c r="AHX13" s="605"/>
      <c r="AHY13" s="605"/>
      <c r="AHZ13" s="605"/>
      <c r="AIA13" s="605"/>
      <c r="AIB13" s="605"/>
      <c r="AIC13" s="605"/>
      <c r="AID13" s="605"/>
      <c r="AIE13" s="605"/>
      <c r="AIF13" s="605"/>
      <c r="AIG13" s="605"/>
      <c r="AIH13" s="605"/>
      <c r="AII13" s="605"/>
      <c r="AIJ13" s="605"/>
      <c r="AIK13" s="605"/>
      <c r="AIL13" s="605"/>
      <c r="AIM13" s="605"/>
      <c r="AIN13" s="605"/>
      <c r="AIO13" s="605"/>
      <c r="AIP13" s="605"/>
      <c r="AIQ13" s="605"/>
      <c r="AIR13" s="605"/>
      <c r="AIS13" s="605"/>
      <c r="AIT13" s="605"/>
      <c r="AIU13" s="605"/>
      <c r="AIV13" s="605"/>
      <c r="AIW13" s="605"/>
      <c r="AIX13" s="605"/>
      <c r="AIY13" s="605"/>
      <c r="AIZ13" s="605"/>
      <c r="AJA13" s="605"/>
      <c r="AJB13" s="605"/>
      <c r="AJC13" s="605"/>
      <c r="AJD13" s="605"/>
      <c r="AJE13" s="605"/>
      <c r="AJF13" s="605"/>
      <c r="AJG13" s="605"/>
      <c r="AJH13" s="605"/>
      <c r="AJI13" s="605"/>
      <c r="AJJ13" s="605"/>
      <c r="AJK13" s="605"/>
      <c r="AJL13" s="605"/>
      <c r="AJM13" s="605"/>
      <c r="AJN13" s="605"/>
      <c r="AJO13" s="605"/>
    </row>
    <row r="14" spans="1:951" x14ac:dyDescent="0.25">
      <c r="A14" s="90" t="s">
        <v>16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6"/>
      <c r="P14" s="96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6"/>
      <c r="AJ14" s="96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6"/>
      <c r="DB14" s="96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102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6"/>
      <c r="EY14" s="96"/>
      <c r="EZ14" s="99"/>
      <c r="FA14" s="99"/>
      <c r="FB14" s="99"/>
      <c r="FC14" s="99"/>
      <c r="FD14" s="96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  <c r="HO14" s="99"/>
      <c r="HP14" s="99"/>
      <c r="HQ14" s="99"/>
      <c r="HR14" s="99"/>
      <c r="HS14" s="99"/>
      <c r="HT14" s="99"/>
      <c r="HU14" s="99"/>
      <c r="HV14" s="99"/>
      <c r="HW14" s="99"/>
      <c r="HX14" s="99"/>
      <c r="HY14" s="99"/>
      <c r="HZ14" s="99"/>
      <c r="IA14" s="99"/>
      <c r="IB14" s="99"/>
      <c r="IC14" s="99"/>
      <c r="ID14" s="99"/>
      <c r="IE14" s="99"/>
      <c r="IF14" s="99"/>
      <c r="IG14" s="99"/>
      <c r="IH14" s="99"/>
      <c r="II14" s="99"/>
      <c r="IJ14" s="99"/>
      <c r="IK14" s="99"/>
      <c r="IL14" s="99"/>
      <c r="IM14" s="99"/>
      <c r="IN14" s="99"/>
      <c r="IO14" s="99"/>
      <c r="IP14" s="96"/>
      <c r="IQ14" s="99"/>
      <c r="IR14" s="99"/>
      <c r="IS14" s="99"/>
      <c r="IT14" s="99"/>
      <c r="IU14" s="99"/>
      <c r="IV14" s="99"/>
      <c r="IW14" s="99"/>
      <c r="IX14" s="99"/>
      <c r="IY14" s="99"/>
      <c r="IZ14" s="99"/>
      <c r="JA14" s="99"/>
      <c r="JB14" s="99"/>
      <c r="JC14" s="99"/>
      <c r="JD14" s="96"/>
      <c r="JE14" s="96"/>
      <c r="JF14" s="99"/>
      <c r="JG14" s="99"/>
      <c r="JH14" s="99"/>
      <c r="JI14" s="99"/>
      <c r="JJ14" s="96"/>
      <c r="JK14" s="99"/>
      <c r="JL14" s="99"/>
      <c r="JM14" s="99"/>
      <c r="JN14" s="99"/>
      <c r="JO14" s="99"/>
      <c r="JP14" s="99"/>
      <c r="JQ14" s="99"/>
      <c r="JR14" s="99"/>
      <c r="JS14" s="99"/>
      <c r="JT14" s="99"/>
      <c r="JU14" s="99"/>
      <c r="JV14" s="99"/>
      <c r="JW14" s="99"/>
      <c r="JX14" s="99"/>
      <c r="JY14" s="99"/>
      <c r="JZ14" s="99"/>
      <c r="KA14" s="99"/>
      <c r="KB14" s="99"/>
      <c r="KC14" s="99"/>
      <c r="KD14" s="99"/>
      <c r="KE14" s="99"/>
      <c r="KF14" s="99"/>
      <c r="KG14" s="99"/>
      <c r="KH14" s="99"/>
      <c r="KI14" s="99"/>
      <c r="KJ14" s="99"/>
      <c r="KK14" s="99"/>
      <c r="KL14" s="99"/>
      <c r="KM14" s="99"/>
      <c r="KN14" s="99"/>
      <c r="KO14" s="99"/>
      <c r="KP14" s="99"/>
      <c r="KQ14" s="99"/>
      <c r="KR14" s="99"/>
      <c r="KS14" s="99"/>
      <c r="KT14" s="99"/>
      <c r="KU14" s="99"/>
      <c r="KV14" s="99"/>
      <c r="KW14" s="99"/>
      <c r="KX14" s="99"/>
      <c r="KY14" s="99"/>
      <c r="KZ14" s="99"/>
      <c r="LA14" s="99"/>
      <c r="LB14" s="99"/>
      <c r="LC14" s="99"/>
      <c r="LD14" s="99"/>
      <c r="LE14" s="99"/>
      <c r="LF14" s="99"/>
      <c r="LG14" s="99"/>
      <c r="LH14" s="99"/>
      <c r="LI14" s="99"/>
      <c r="LJ14" s="99"/>
      <c r="LK14" s="99"/>
      <c r="LL14" s="99"/>
      <c r="LM14" s="99"/>
      <c r="LN14" s="99"/>
      <c r="LO14" s="99"/>
      <c r="LP14" s="99"/>
      <c r="LQ14" s="99"/>
      <c r="LR14" s="99"/>
      <c r="LS14" s="99"/>
      <c r="LT14" s="99"/>
      <c r="LU14" s="99"/>
      <c r="LV14" s="99"/>
      <c r="LW14" s="99"/>
      <c r="LX14" s="99"/>
      <c r="LY14" s="99"/>
      <c r="LZ14" s="99"/>
      <c r="MA14" s="99"/>
      <c r="MB14" s="99"/>
      <c r="MC14" s="99"/>
      <c r="MD14" s="99"/>
      <c r="ME14" s="99"/>
      <c r="MF14" s="99"/>
      <c r="MG14" s="99"/>
      <c r="MH14" s="99"/>
      <c r="MI14" s="99"/>
      <c r="MJ14" s="99"/>
      <c r="MK14" s="99"/>
      <c r="ML14" s="99"/>
      <c r="MM14" s="99"/>
      <c r="MN14" s="99"/>
      <c r="MO14" s="99"/>
      <c r="MP14" s="99"/>
      <c r="MQ14" s="99"/>
      <c r="MR14" s="99"/>
      <c r="MS14" s="99"/>
      <c r="MT14" s="99"/>
      <c r="MU14" s="99"/>
      <c r="MV14" s="99"/>
      <c r="MW14" s="99"/>
      <c r="MX14" s="99"/>
      <c r="MY14" s="99"/>
      <c r="MZ14" s="99"/>
      <c r="NA14" s="99"/>
      <c r="NB14" s="99"/>
      <c r="NC14" s="99"/>
      <c r="ND14" s="99"/>
      <c r="NE14" s="99"/>
      <c r="NF14" s="99"/>
      <c r="NG14" s="99"/>
      <c r="NH14" s="393"/>
      <c r="NI14" s="393"/>
      <c r="NJ14" s="391"/>
      <c r="NK14" s="391"/>
      <c r="NL14" s="393"/>
      <c r="NM14" s="393"/>
      <c r="NN14" s="393"/>
      <c r="NO14" s="393"/>
      <c r="NP14" s="391"/>
      <c r="NQ14" s="393"/>
      <c r="NR14" s="393"/>
      <c r="NS14" s="393"/>
      <c r="NT14" s="393"/>
      <c r="NU14" s="393"/>
      <c r="NV14" s="393"/>
      <c r="NW14" s="393"/>
      <c r="NX14" s="393"/>
      <c r="NY14" s="393"/>
      <c r="NZ14" s="393"/>
      <c r="OA14" s="393"/>
      <c r="OB14" s="393"/>
      <c r="OC14" s="393"/>
      <c r="OD14" s="393"/>
      <c r="OE14" s="393"/>
      <c r="OF14" s="393"/>
      <c r="OG14" s="393"/>
      <c r="OH14" s="393"/>
      <c r="OI14" s="393"/>
      <c r="OJ14" s="393"/>
      <c r="OK14" s="393"/>
      <c r="OL14" s="393"/>
      <c r="OM14" s="393"/>
      <c r="ON14" s="393"/>
      <c r="OO14" s="393"/>
      <c r="OP14" s="393"/>
      <c r="OQ14" s="393"/>
      <c r="OR14" s="393"/>
      <c r="OS14" s="393"/>
      <c r="OT14" s="393"/>
      <c r="OU14" s="393"/>
      <c r="OV14" s="393"/>
      <c r="OW14" s="393"/>
      <c r="OX14" s="393"/>
      <c r="OY14" s="393"/>
      <c r="OZ14" s="393"/>
      <c r="PA14" s="393"/>
      <c r="PB14" s="393"/>
      <c r="PC14" s="393"/>
      <c r="PD14" s="393"/>
      <c r="PE14" s="393"/>
      <c r="PF14" s="393"/>
      <c r="PG14" s="393"/>
      <c r="PH14" s="393"/>
      <c r="PI14" s="393"/>
      <c r="PJ14" s="393"/>
      <c r="PK14" s="393"/>
      <c r="PL14" s="393"/>
      <c r="PM14" s="393"/>
      <c r="PN14" s="393"/>
      <c r="PO14" s="393"/>
      <c r="PP14" s="393"/>
      <c r="PQ14" s="393"/>
      <c r="PR14" s="393"/>
      <c r="PS14" s="393"/>
      <c r="PT14" s="393"/>
      <c r="PU14" s="393"/>
      <c r="PV14" s="393"/>
      <c r="PW14" s="393"/>
      <c r="PX14" s="393"/>
      <c r="PY14" s="393"/>
      <c r="PZ14" s="393"/>
      <c r="QA14" s="393"/>
      <c r="QB14" s="393"/>
      <c r="QC14" s="393"/>
      <c r="QD14" s="393"/>
      <c r="QE14" s="393"/>
      <c r="QF14" s="393"/>
      <c r="QG14" s="393"/>
      <c r="QH14" s="393"/>
      <c r="QI14" s="393"/>
      <c r="QJ14" s="393"/>
      <c r="QK14" s="393"/>
      <c r="QL14" s="393"/>
      <c r="QM14" s="393"/>
      <c r="QN14" s="393"/>
      <c r="QO14" s="393"/>
      <c r="QP14" s="393"/>
      <c r="QQ14" s="393"/>
      <c r="QR14" s="393"/>
      <c r="QS14" s="393"/>
      <c r="QT14" s="393"/>
      <c r="QU14" s="393"/>
      <c r="QV14" s="393"/>
      <c r="QW14" s="393"/>
      <c r="QX14" s="393"/>
      <c r="QY14" s="393"/>
      <c r="QZ14" s="393"/>
      <c r="RA14" s="393"/>
      <c r="RB14" s="393"/>
      <c r="RC14" s="393"/>
      <c r="RD14" s="393"/>
      <c r="RE14" s="393"/>
      <c r="RF14" s="393"/>
      <c r="RG14" s="393"/>
      <c r="RH14" s="393"/>
      <c r="RI14" s="393"/>
      <c r="RJ14" s="393"/>
      <c r="RK14" s="393"/>
      <c r="RL14" s="393"/>
      <c r="RM14" s="393"/>
      <c r="RN14" s="99"/>
      <c r="RO14" s="99"/>
      <c r="RP14" s="96"/>
      <c r="RQ14" s="96"/>
      <c r="RR14" s="99"/>
      <c r="RS14" s="99"/>
      <c r="RT14" s="99"/>
      <c r="RU14" s="99"/>
      <c r="RV14" s="99"/>
      <c r="RW14" s="99"/>
      <c r="RX14" s="99"/>
      <c r="RY14" s="99"/>
      <c r="RZ14" s="99"/>
      <c r="SA14" s="99"/>
      <c r="SB14" s="99"/>
      <c r="SC14" s="99"/>
      <c r="SD14" s="99"/>
      <c r="SE14" s="99"/>
      <c r="SF14" s="99"/>
      <c r="SG14" s="99"/>
      <c r="SH14" s="99"/>
      <c r="SI14" s="99"/>
      <c r="SJ14" s="99"/>
      <c r="SK14" s="99"/>
      <c r="SL14" s="99"/>
      <c r="SM14" s="99"/>
      <c r="SN14" s="99"/>
      <c r="SO14" s="99"/>
      <c r="SP14" s="99"/>
      <c r="SQ14" s="99"/>
      <c r="SR14" s="99"/>
      <c r="SS14" s="99"/>
      <c r="ST14" s="99"/>
      <c r="SU14" s="99"/>
      <c r="SV14" s="99"/>
      <c r="SW14" s="99"/>
      <c r="SX14" s="99"/>
      <c r="SY14" s="99"/>
      <c r="SZ14" s="99"/>
      <c r="TA14" s="99"/>
      <c r="TB14" s="99"/>
      <c r="TC14" s="99"/>
      <c r="TD14" s="99"/>
      <c r="TE14" s="99"/>
      <c r="TF14" s="99"/>
      <c r="TG14" s="99"/>
      <c r="TH14" s="96"/>
      <c r="TI14" s="99"/>
      <c r="TJ14" s="99"/>
      <c r="TK14" s="99"/>
      <c r="TL14" s="99"/>
      <c r="TM14" s="99"/>
      <c r="TN14" s="99"/>
      <c r="TO14" s="99"/>
      <c r="TP14" s="99"/>
      <c r="TQ14" s="99"/>
      <c r="TR14" s="99"/>
      <c r="TS14" s="99"/>
      <c r="TT14" s="99"/>
      <c r="TU14" s="99"/>
      <c r="TV14" s="99"/>
      <c r="TW14" s="99"/>
      <c r="TX14" s="99"/>
      <c r="TY14" s="99"/>
      <c r="TZ14" s="99"/>
      <c r="UA14" s="99"/>
      <c r="UB14" s="99"/>
      <c r="UC14" s="99"/>
      <c r="UD14" s="99"/>
      <c r="UE14" s="99"/>
      <c r="UF14" s="99"/>
      <c r="UG14" s="99"/>
      <c r="UH14" s="99"/>
      <c r="UI14" s="99"/>
      <c r="UJ14" s="99"/>
      <c r="UK14" s="99"/>
      <c r="UL14" s="99"/>
      <c r="UM14" s="99"/>
      <c r="UN14" s="99"/>
      <c r="UO14" s="99"/>
      <c r="UP14" s="99"/>
      <c r="UQ14" s="99"/>
      <c r="UR14" s="99"/>
      <c r="US14" s="99"/>
      <c r="UT14" s="99"/>
      <c r="UU14" s="99"/>
      <c r="UV14" s="99"/>
      <c r="UW14" s="99"/>
      <c r="UX14" s="99"/>
      <c r="UY14" s="99"/>
      <c r="UZ14" s="99"/>
      <c r="VA14" s="99"/>
      <c r="VB14" s="99"/>
      <c r="VC14" s="99"/>
      <c r="VD14" s="99"/>
      <c r="VE14" s="99"/>
      <c r="VF14" s="99"/>
      <c r="VG14" s="99"/>
      <c r="VH14" s="99"/>
      <c r="VI14" s="99"/>
      <c r="VJ14" s="99"/>
      <c r="VK14" s="99"/>
      <c r="VL14" s="99"/>
      <c r="VM14" s="99"/>
      <c r="VN14" s="99"/>
      <c r="VO14" s="99"/>
      <c r="VP14" s="99"/>
      <c r="VQ14" s="99"/>
      <c r="VR14" s="99"/>
      <c r="VS14" s="99"/>
      <c r="VT14" s="99"/>
      <c r="VU14" s="99"/>
      <c r="VV14" s="96"/>
      <c r="VW14" s="96"/>
      <c r="VX14" s="99"/>
      <c r="VY14" s="99"/>
      <c r="VZ14" s="99"/>
      <c r="WA14" s="99"/>
      <c r="WB14" s="99"/>
      <c r="WC14" s="99"/>
      <c r="WD14" s="99"/>
      <c r="WE14" s="99"/>
      <c r="WF14" s="99"/>
      <c r="WG14" s="99"/>
      <c r="WH14" s="99"/>
      <c r="WI14" s="99"/>
      <c r="WJ14" s="99"/>
      <c r="WK14" s="99"/>
      <c r="WL14" s="99"/>
      <c r="WM14" s="99"/>
      <c r="WN14" s="99"/>
      <c r="WO14" s="99"/>
      <c r="WP14" s="99"/>
      <c r="WQ14" s="99"/>
      <c r="WR14" s="99"/>
      <c r="WS14" s="99"/>
      <c r="WT14" s="99"/>
      <c r="WU14" s="99"/>
      <c r="WV14" s="99"/>
      <c r="WW14" s="99"/>
      <c r="WX14" s="99"/>
      <c r="WY14" s="99"/>
      <c r="WZ14" s="99"/>
      <c r="XA14" s="99"/>
      <c r="XB14" s="99"/>
      <c r="XC14" s="99"/>
      <c r="XD14" s="99"/>
      <c r="XE14" s="99"/>
      <c r="XF14" s="99"/>
      <c r="XG14" s="99"/>
      <c r="XH14" s="99"/>
      <c r="XI14" s="99"/>
      <c r="XJ14" s="99"/>
      <c r="XK14" s="99"/>
      <c r="XL14" s="99"/>
      <c r="XM14" s="99"/>
      <c r="XN14" s="96"/>
      <c r="XO14" s="99"/>
      <c r="XP14" s="99"/>
      <c r="XQ14" s="99"/>
      <c r="XR14" s="99"/>
      <c r="XS14" s="99"/>
      <c r="XT14" s="99"/>
      <c r="XU14" s="99"/>
      <c r="XV14" s="99"/>
      <c r="XW14" s="99"/>
      <c r="XX14" s="99"/>
      <c r="XY14" s="99"/>
      <c r="XZ14" s="99"/>
      <c r="YA14" s="99"/>
      <c r="YB14" s="99"/>
      <c r="YC14" s="99"/>
      <c r="YD14" s="99"/>
      <c r="YE14" s="99"/>
      <c r="YF14" s="99"/>
      <c r="YG14" s="99"/>
      <c r="YH14" s="99"/>
      <c r="YI14" s="99"/>
      <c r="YJ14" s="99"/>
      <c r="YK14" s="99"/>
      <c r="YL14" s="99"/>
      <c r="YM14" s="99"/>
      <c r="YN14" s="99"/>
      <c r="YO14" s="99"/>
      <c r="YP14" s="99"/>
      <c r="YQ14" s="99"/>
      <c r="YR14" s="99"/>
      <c r="YS14" s="99"/>
      <c r="YT14" s="99"/>
      <c r="YU14" s="99"/>
      <c r="YV14" s="99"/>
      <c r="YW14" s="99"/>
      <c r="YX14" s="99"/>
      <c r="YY14" s="99"/>
      <c r="YZ14" s="99"/>
      <c r="ZA14" s="99"/>
      <c r="ZB14" s="99"/>
      <c r="ZC14" s="99"/>
      <c r="ZD14" s="99"/>
      <c r="ZE14" s="99"/>
      <c r="ZF14" s="99"/>
      <c r="ZG14" s="99"/>
      <c r="ZH14" s="99"/>
      <c r="ZI14" s="99"/>
      <c r="ZJ14" s="99"/>
      <c r="ZK14" s="99"/>
      <c r="ZL14" s="99"/>
      <c r="ZM14" s="99"/>
      <c r="ZN14" s="99"/>
      <c r="ZO14" s="99"/>
      <c r="ZP14" s="99"/>
      <c r="ZQ14" s="99"/>
      <c r="ZR14" s="99"/>
      <c r="ZS14" s="99"/>
      <c r="ZT14" s="99"/>
      <c r="ZU14" s="99"/>
      <c r="ZV14" s="99"/>
      <c r="ZW14" s="99"/>
      <c r="ZX14" s="99"/>
      <c r="ZY14" s="99"/>
      <c r="ZZ14" s="605"/>
      <c r="AAA14" s="605"/>
      <c r="AAB14" s="605"/>
      <c r="AAC14" s="605"/>
      <c r="AAD14" s="605"/>
      <c r="AAE14" s="605"/>
      <c r="AAF14" s="605"/>
      <c r="AAG14" s="605"/>
      <c r="AAH14" s="605"/>
      <c r="AAI14" s="605"/>
      <c r="AAJ14" s="605"/>
      <c r="AAK14" s="605"/>
      <c r="AAL14" s="605"/>
      <c r="AAM14" s="605"/>
      <c r="AAN14" s="605"/>
      <c r="AAO14" s="605"/>
      <c r="AAP14" s="605"/>
      <c r="AAQ14" s="605"/>
      <c r="AAR14" s="605"/>
      <c r="AAS14" s="605"/>
      <c r="AAT14" s="605"/>
      <c r="AAU14" s="605"/>
      <c r="AAV14" s="605"/>
      <c r="AAW14" s="605"/>
      <c r="AAX14" s="605"/>
      <c r="AAY14" s="605"/>
      <c r="AAZ14" s="605"/>
      <c r="ABA14" s="605"/>
      <c r="ABB14" s="605"/>
      <c r="ABC14" s="605"/>
      <c r="ABD14" s="605"/>
      <c r="ABE14" s="605"/>
      <c r="ABF14" s="605"/>
      <c r="ABG14" s="605"/>
      <c r="ABH14" s="605"/>
      <c r="ABI14" s="605"/>
      <c r="ABJ14" s="605"/>
      <c r="ABK14" s="605"/>
      <c r="ABL14" s="605"/>
      <c r="ABM14" s="605"/>
      <c r="ABN14" s="605"/>
      <c r="ABO14" s="605"/>
      <c r="ABP14" s="605"/>
      <c r="ABQ14" s="605"/>
      <c r="ABR14" s="605"/>
      <c r="ABS14" s="605"/>
      <c r="ABT14" s="605"/>
      <c r="ABU14" s="605"/>
      <c r="ABV14" s="605"/>
      <c r="ABW14" s="605"/>
      <c r="ABX14" s="605"/>
      <c r="ABY14" s="605"/>
      <c r="ABZ14" s="605"/>
      <c r="ACA14" s="605"/>
      <c r="ACB14" s="605"/>
      <c r="ACC14" s="605"/>
      <c r="ACD14" s="605"/>
      <c r="ACE14" s="605"/>
      <c r="ACF14" s="605"/>
      <c r="ACG14" s="605"/>
      <c r="ACH14" s="605"/>
      <c r="ACI14" s="605"/>
      <c r="ACJ14" s="605"/>
      <c r="ACK14" s="605"/>
      <c r="ACL14" s="605"/>
      <c r="ACM14" s="605"/>
      <c r="ACN14" s="605"/>
      <c r="ACO14" s="605"/>
      <c r="ACP14" s="605"/>
      <c r="ACQ14" s="605"/>
      <c r="ACR14" s="605"/>
      <c r="ACS14" s="605"/>
      <c r="ACT14" s="605"/>
      <c r="ACU14" s="605"/>
      <c r="ACV14" s="605"/>
      <c r="ACW14" s="605"/>
      <c r="ACX14" s="605"/>
      <c r="ACY14" s="605"/>
      <c r="ACZ14" s="605"/>
      <c r="ADA14" s="605"/>
      <c r="ADB14" s="605"/>
      <c r="ADC14" s="605"/>
      <c r="ADD14" s="605"/>
      <c r="ADE14" s="605"/>
      <c r="ADF14" s="605"/>
      <c r="ADG14" s="605"/>
      <c r="ADH14" s="605"/>
      <c r="ADI14" s="605"/>
      <c r="ADJ14" s="605"/>
      <c r="ADK14" s="605"/>
      <c r="ADL14" s="605"/>
      <c r="ADM14" s="605"/>
      <c r="ADN14" s="605"/>
      <c r="ADO14" s="605"/>
      <c r="ADP14" s="605"/>
      <c r="ADQ14" s="605"/>
      <c r="ADR14" s="605"/>
      <c r="ADS14" s="605"/>
      <c r="ADT14" s="605"/>
      <c r="ADU14" s="605"/>
      <c r="ADV14" s="605"/>
      <c r="ADW14" s="605"/>
      <c r="ADX14" s="605"/>
      <c r="ADY14" s="605"/>
      <c r="ADZ14" s="605"/>
      <c r="AEA14" s="605"/>
      <c r="AEB14" s="605"/>
      <c r="AEC14" s="605"/>
      <c r="AED14" s="605"/>
      <c r="AEE14" s="605"/>
      <c r="AEF14" s="605"/>
      <c r="AEG14" s="605"/>
      <c r="AEH14" s="605"/>
      <c r="AEI14" s="605"/>
      <c r="AEJ14" s="605"/>
      <c r="AEK14" s="605"/>
      <c r="AEL14" s="605"/>
      <c r="AEM14" s="605"/>
      <c r="AEN14" s="605"/>
      <c r="AEO14" s="605"/>
      <c r="AEP14" s="605"/>
      <c r="AEQ14" s="605"/>
      <c r="AER14" s="605"/>
      <c r="AES14" s="605"/>
      <c r="AET14" s="605"/>
      <c r="AEU14" s="605"/>
      <c r="AEV14" s="605"/>
      <c r="AEW14" s="605"/>
      <c r="AEX14" s="605"/>
      <c r="AEY14" s="605"/>
      <c r="AEZ14" s="605"/>
      <c r="AFA14" s="605"/>
      <c r="AFB14" s="605"/>
      <c r="AFC14" s="605"/>
      <c r="AFD14" s="605"/>
      <c r="AFE14" s="605"/>
      <c r="AFF14" s="605"/>
      <c r="AFG14" s="605"/>
      <c r="AFH14" s="605"/>
      <c r="AFI14" s="605"/>
      <c r="AFJ14" s="605"/>
      <c r="AFK14" s="605"/>
      <c r="AFL14" s="605"/>
      <c r="AFM14" s="605"/>
      <c r="AFN14" s="605"/>
      <c r="AFO14" s="605"/>
      <c r="AFP14" s="605"/>
      <c r="AFQ14" s="605"/>
      <c r="AFR14" s="605"/>
      <c r="AFS14" s="605"/>
      <c r="AFT14" s="605"/>
      <c r="AFU14" s="605"/>
      <c r="AFV14" s="605"/>
      <c r="AFW14" s="605"/>
      <c r="AFX14" s="605"/>
      <c r="AFY14" s="605"/>
      <c r="AFZ14" s="605"/>
      <c r="AGA14" s="605"/>
      <c r="AGB14" s="605"/>
      <c r="AGC14" s="605"/>
      <c r="AGD14" s="605"/>
      <c r="AGE14" s="605"/>
      <c r="AGF14" s="605"/>
      <c r="AGG14" s="605"/>
      <c r="AGH14" s="605"/>
      <c r="AGI14" s="605"/>
      <c r="AGJ14" s="605"/>
      <c r="AGK14" s="605"/>
      <c r="AGL14" s="605"/>
      <c r="AGM14" s="605"/>
      <c r="AGN14" s="605"/>
      <c r="AGO14" s="605"/>
      <c r="AGP14" s="605"/>
      <c r="AGQ14" s="605"/>
      <c r="AGR14" s="605"/>
      <c r="AGS14" s="605"/>
      <c r="AGT14" s="605"/>
      <c r="AGU14" s="605"/>
      <c r="AGV14" s="605"/>
      <c r="AGW14" s="605"/>
      <c r="AGX14" s="605"/>
      <c r="AGY14" s="605"/>
      <c r="AGZ14" s="605"/>
      <c r="AHA14" s="605"/>
      <c r="AHB14" s="605"/>
      <c r="AHC14" s="605"/>
      <c r="AHD14" s="605"/>
      <c r="AHE14" s="605"/>
      <c r="AHF14" s="605"/>
      <c r="AHG14" s="605"/>
      <c r="AHH14" s="605"/>
      <c r="AHI14" s="605"/>
      <c r="AHJ14" s="605"/>
      <c r="AHK14" s="605"/>
      <c r="AHL14" s="605"/>
      <c r="AHM14" s="605"/>
      <c r="AHN14" s="605"/>
      <c r="AHO14" s="605"/>
      <c r="AHP14" s="605"/>
      <c r="AHQ14" s="605"/>
      <c r="AHR14" s="605"/>
      <c r="AHS14" s="605"/>
      <c r="AHT14" s="605"/>
      <c r="AHU14" s="605"/>
      <c r="AHV14" s="605"/>
      <c r="AHW14" s="605"/>
      <c r="AHX14" s="605"/>
      <c r="AHY14" s="605"/>
      <c r="AHZ14" s="605"/>
      <c r="AIA14" s="605"/>
      <c r="AIB14" s="605"/>
      <c r="AIC14" s="605"/>
      <c r="AID14" s="605"/>
      <c r="AIE14" s="605"/>
      <c r="AIF14" s="605"/>
      <c r="AIG14" s="605"/>
      <c r="AIH14" s="605"/>
      <c r="AII14" s="605"/>
      <c r="AIJ14" s="605"/>
      <c r="AIK14" s="605"/>
      <c r="AIL14" s="605"/>
      <c r="AIM14" s="605"/>
      <c r="AIN14" s="605"/>
      <c r="AIO14" s="605"/>
      <c r="AIP14" s="605"/>
      <c r="AIQ14" s="605"/>
      <c r="AIR14" s="605"/>
      <c r="AIS14" s="605"/>
      <c r="AIT14" s="605"/>
      <c r="AIU14" s="605"/>
      <c r="AIV14" s="605"/>
      <c r="AIW14" s="605"/>
      <c r="AIX14" s="605"/>
      <c r="AIY14" s="605"/>
      <c r="AIZ14" s="605"/>
      <c r="AJA14" s="605"/>
      <c r="AJB14" s="605"/>
      <c r="AJC14" s="605"/>
      <c r="AJD14" s="605"/>
      <c r="AJE14" s="605"/>
      <c r="AJF14" s="605"/>
      <c r="AJG14" s="605"/>
      <c r="AJH14" s="605"/>
      <c r="AJI14" s="605"/>
      <c r="AJJ14" s="605"/>
      <c r="AJK14" s="605"/>
      <c r="AJL14" s="605"/>
      <c r="AJM14" s="605"/>
      <c r="AJN14" s="605"/>
      <c r="AJO14" s="605"/>
    </row>
    <row r="15" spans="1:951" x14ac:dyDescent="0.25">
      <c r="A15" s="91" t="s">
        <v>17</v>
      </c>
      <c r="B15" s="96">
        <v>0</v>
      </c>
      <c r="C15" s="96">
        <v>1000000</v>
      </c>
      <c r="D15" s="96">
        <v>1000000</v>
      </c>
      <c r="E15" s="96">
        <v>1000000</v>
      </c>
      <c r="F15" s="96">
        <v>1000000</v>
      </c>
      <c r="G15" s="96">
        <v>180000</v>
      </c>
      <c r="H15" s="96">
        <v>180000</v>
      </c>
      <c r="I15" s="96">
        <v>180000</v>
      </c>
      <c r="J15" s="96">
        <v>180000</v>
      </c>
      <c r="K15" s="96"/>
      <c r="L15" s="96">
        <v>463500</v>
      </c>
      <c r="M15" s="96">
        <v>463500</v>
      </c>
      <c r="N15" s="96">
        <v>463500</v>
      </c>
      <c r="O15" s="96">
        <v>463500</v>
      </c>
      <c r="P15" s="96">
        <v>463500</v>
      </c>
      <c r="Q15" s="96">
        <v>0</v>
      </c>
      <c r="R15" s="96">
        <v>178500</v>
      </c>
      <c r="S15" s="96">
        <v>178500</v>
      </c>
      <c r="T15" s="96">
        <v>178500</v>
      </c>
      <c r="U15" s="96">
        <v>178500</v>
      </c>
      <c r="V15" s="96">
        <v>0</v>
      </c>
      <c r="W15" s="96">
        <v>0</v>
      </c>
      <c r="X15" s="96">
        <v>463500</v>
      </c>
      <c r="Y15" s="96">
        <v>463500</v>
      </c>
      <c r="Z15" s="96">
        <v>463500</v>
      </c>
      <c r="AA15" s="96">
        <v>0</v>
      </c>
      <c r="AB15" s="96">
        <v>706200</v>
      </c>
      <c r="AC15" s="96">
        <v>706200</v>
      </c>
      <c r="AD15" s="96">
        <v>706200</v>
      </c>
      <c r="AE15" s="96">
        <v>706200</v>
      </c>
      <c r="AF15" s="96">
        <v>626500</v>
      </c>
      <c r="AG15" s="96">
        <v>676500</v>
      </c>
      <c r="AH15" s="96">
        <v>676500</v>
      </c>
      <c r="AI15" s="96">
        <v>676500</v>
      </c>
      <c r="AJ15" s="96">
        <v>676500</v>
      </c>
      <c r="AK15" s="96">
        <v>0</v>
      </c>
      <c r="AL15" s="96">
        <v>168000</v>
      </c>
      <c r="AM15" s="96">
        <v>168000</v>
      </c>
      <c r="AN15" s="96">
        <v>168000</v>
      </c>
      <c r="AO15" s="96">
        <v>168000</v>
      </c>
      <c r="AP15" s="96">
        <v>0</v>
      </c>
      <c r="AQ15" s="96">
        <v>434500</v>
      </c>
      <c r="AR15" s="96">
        <v>434500</v>
      </c>
      <c r="AS15" s="96">
        <v>434500</v>
      </c>
      <c r="AT15" s="96">
        <v>434500</v>
      </c>
      <c r="AU15" s="96">
        <v>750000</v>
      </c>
      <c r="AV15" s="96">
        <v>750000</v>
      </c>
      <c r="AW15" s="96">
        <v>750000</v>
      </c>
      <c r="AX15" s="96">
        <v>750000</v>
      </c>
      <c r="AY15" s="96"/>
      <c r="AZ15" s="96">
        <v>220000</v>
      </c>
      <c r="BA15" s="96">
        <v>220000</v>
      </c>
      <c r="BB15" s="96">
        <v>220000</v>
      </c>
      <c r="BC15" s="96">
        <v>748504</v>
      </c>
      <c r="BD15" s="96">
        <v>748504</v>
      </c>
      <c r="BE15" s="96">
        <v>0</v>
      </c>
      <c r="BF15" s="96">
        <v>259000</v>
      </c>
      <c r="BG15" s="96">
        <v>259000</v>
      </c>
      <c r="BH15" s="96">
        <v>259000</v>
      </c>
      <c r="BI15" s="96">
        <v>259000</v>
      </c>
      <c r="BJ15" s="96"/>
      <c r="BK15" s="96"/>
      <c r="BL15" s="96"/>
      <c r="BM15" s="96"/>
      <c r="BN15" s="96">
        <v>734000</v>
      </c>
      <c r="BO15" s="96"/>
      <c r="BP15" s="96"/>
      <c r="BQ15" s="96">
        <v>160000</v>
      </c>
      <c r="BR15" s="96">
        <v>860000</v>
      </c>
      <c r="BS15" s="96">
        <v>860000</v>
      </c>
      <c r="BT15" s="96">
        <v>573000</v>
      </c>
      <c r="BU15" s="96">
        <v>1000000</v>
      </c>
      <c r="BV15" s="96">
        <v>1050000</v>
      </c>
      <c r="BW15" s="96">
        <v>1050000</v>
      </c>
      <c r="BX15" s="96">
        <v>1050000</v>
      </c>
      <c r="BY15" s="96">
        <v>0</v>
      </c>
      <c r="BZ15" s="96">
        <v>214000</v>
      </c>
      <c r="CA15" s="96">
        <v>214000</v>
      </c>
      <c r="CB15" s="96">
        <v>214000</v>
      </c>
      <c r="CC15" s="96">
        <v>1089200</v>
      </c>
      <c r="CD15" s="96">
        <v>85000</v>
      </c>
      <c r="CE15" s="96">
        <v>85000</v>
      </c>
      <c r="CF15" s="96">
        <v>85000</v>
      </c>
      <c r="CG15" s="96">
        <v>85000</v>
      </c>
      <c r="CH15" s="96">
        <v>85000</v>
      </c>
      <c r="CI15" s="96">
        <v>0</v>
      </c>
      <c r="CJ15" s="96">
        <v>0</v>
      </c>
      <c r="CK15" s="96">
        <v>1211.4390000000001</v>
      </c>
      <c r="CL15" s="96"/>
      <c r="CM15" s="96"/>
      <c r="CN15" s="96">
        <v>0</v>
      </c>
      <c r="CO15" s="96">
        <v>745500</v>
      </c>
      <c r="CP15" s="96">
        <v>745500</v>
      </c>
      <c r="CQ15" s="96">
        <v>805000</v>
      </c>
      <c r="CR15" s="96">
        <v>805000</v>
      </c>
      <c r="CS15" s="96">
        <v>0</v>
      </c>
      <c r="CT15" s="96">
        <v>214000</v>
      </c>
      <c r="CU15" s="96">
        <v>214000</v>
      </c>
      <c r="CV15" s="96">
        <v>794000</v>
      </c>
      <c r="CW15" s="96">
        <v>794000</v>
      </c>
      <c r="CX15" s="96">
        <v>0</v>
      </c>
      <c r="CY15" s="96">
        <v>180000</v>
      </c>
      <c r="CZ15" s="96">
        <v>180000</v>
      </c>
      <c r="DA15" s="96">
        <v>180000</v>
      </c>
      <c r="DB15" s="96">
        <v>180000</v>
      </c>
      <c r="DC15" s="96">
        <v>216000</v>
      </c>
      <c r="DD15" s="96">
        <v>216000</v>
      </c>
      <c r="DE15" s="96">
        <v>216000</v>
      </c>
      <c r="DF15" s="96">
        <v>216000</v>
      </c>
      <c r="DG15" s="96">
        <v>315698</v>
      </c>
      <c r="DH15" s="96">
        <v>0</v>
      </c>
      <c r="DI15" s="96">
        <v>0</v>
      </c>
      <c r="DJ15" s="96"/>
      <c r="DK15" s="96"/>
      <c r="DL15" s="96">
        <v>900000</v>
      </c>
      <c r="DM15" s="96">
        <v>2500000</v>
      </c>
      <c r="DN15" s="96">
        <v>2500000</v>
      </c>
      <c r="DO15" s="96">
        <v>2500000</v>
      </c>
      <c r="DP15" s="96">
        <v>2500000</v>
      </c>
      <c r="DQ15" s="96">
        <v>2500000</v>
      </c>
      <c r="DR15" s="96">
        <v>2000000</v>
      </c>
      <c r="DS15" s="96">
        <v>2000000</v>
      </c>
      <c r="DT15" s="96">
        <v>2000000</v>
      </c>
      <c r="DU15" s="96">
        <v>2000000</v>
      </c>
      <c r="DV15" s="96">
        <v>2000000</v>
      </c>
      <c r="DW15" s="96">
        <v>831656</v>
      </c>
      <c r="DX15" s="96">
        <v>831656</v>
      </c>
      <c r="DY15" s="96">
        <v>1250000</v>
      </c>
      <c r="DZ15" s="96">
        <v>1250000</v>
      </c>
      <c r="EA15" s="96">
        <v>1250000</v>
      </c>
      <c r="EB15" s="96"/>
      <c r="EC15" s="96"/>
      <c r="ED15" s="96"/>
      <c r="EE15" s="96"/>
      <c r="EF15" s="96">
        <v>851000</v>
      </c>
      <c r="EG15" s="96"/>
      <c r="EH15" s="96"/>
      <c r="EI15" s="96"/>
      <c r="EJ15" s="96">
        <v>692250</v>
      </c>
      <c r="EK15" s="96">
        <v>692250</v>
      </c>
      <c r="EL15" s="96"/>
      <c r="EM15" s="96"/>
      <c r="EN15" s="96"/>
      <c r="EO15" s="96">
        <v>805000</v>
      </c>
      <c r="EP15" s="96">
        <v>805000</v>
      </c>
      <c r="EQ15" s="96"/>
      <c r="ER15" s="96"/>
      <c r="ES15" s="96"/>
      <c r="ET15" s="96"/>
      <c r="EU15" s="96">
        <v>854000</v>
      </c>
      <c r="EV15" s="96">
        <v>180000</v>
      </c>
      <c r="EW15" s="96">
        <v>180000</v>
      </c>
      <c r="EX15" s="96">
        <v>463500</v>
      </c>
      <c r="EY15" s="96">
        <v>463500</v>
      </c>
      <c r="EZ15" s="96">
        <v>178500</v>
      </c>
      <c r="FA15" s="96">
        <v>1338000</v>
      </c>
      <c r="FB15" s="96">
        <v>706200</v>
      </c>
      <c r="FC15" s="96">
        <v>706200</v>
      </c>
      <c r="FD15" s="96">
        <v>676500</v>
      </c>
      <c r="FE15" s="96">
        <v>676500</v>
      </c>
      <c r="FF15" s="96">
        <v>168000</v>
      </c>
      <c r="FG15" s="96">
        <v>168000</v>
      </c>
      <c r="FH15" s="96">
        <v>434500</v>
      </c>
      <c r="FI15" s="96"/>
      <c r="FJ15" s="96"/>
      <c r="FK15" s="96"/>
      <c r="FL15" s="96"/>
      <c r="FM15" s="96">
        <v>179000</v>
      </c>
      <c r="FN15" s="96">
        <v>860000</v>
      </c>
      <c r="FO15" s="96">
        <v>860000</v>
      </c>
      <c r="FP15" s="96">
        <v>259000</v>
      </c>
      <c r="FQ15" s="96">
        <v>259000</v>
      </c>
      <c r="FR15" s="96">
        <v>1050000</v>
      </c>
      <c r="FS15" s="96"/>
      <c r="FT15" s="96">
        <v>748504</v>
      </c>
      <c r="FU15" s="96">
        <v>800000</v>
      </c>
      <c r="FV15" s="96">
        <v>1089200</v>
      </c>
      <c r="FW15" s="96">
        <v>1089200</v>
      </c>
      <c r="FX15" s="96">
        <v>851000</v>
      </c>
      <c r="FY15" s="96">
        <v>851000</v>
      </c>
      <c r="FZ15" s="96">
        <v>463500</v>
      </c>
      <c r="GA15" s="96">
        <v>463000</v>
      </c>
      <c r="GB15" s="96">
        <v>734000</v>
      </c>
      <c r="GC15" s="96">
        <v>734000</v>
      </c>
      <c r="GD15" s="96">
        <v>85000</v>
      </c>
      <c r="GE15" s="96">
        <v>85000</v>
      </c>
      <c r="GF15" s="96"/>
      <c r="GG15" s="96"/>
      <c r="GH15" s="96">
        <v>805000</v>
      </c>
      <c r="GI15" s="96">
        <v>805000</v>
      </c>
      <c r="GJ15" s="96">
        <v>1435548</v>
      </c>
      <c r="GK15" s="96">
        <v>1435548</v>
      </c>
      <c r="GL15" s="96">
        <v>430000</v>
      </c>
      <c r="GM15" s="96">
        <v>430000</v>
      </c>
      <c r="GN15" s="96">
        <v>498000</v>
      </c>
      <c r="GO15" s="96">
        <v>498000</v>
      </c>
      <c r="GP15" s="96">
        <v>805000</v>
      </c>
      <c r="GQ15" s="96">
        <v>884250</v>
      </c>
      <c r="GR15" s="96"/>
      <c r="GS15" s="96"/>
      <c r="GT15" s="96">
        <v>750000</v>
      </c>
      <c r="GU15" s="96">
        <v>1344233</v>
      </c>
      <c r="GV15" s="96"/>
      <c r="GW15" s="96">
        <v>580000</v>
      </c>
      <c r="GX15" s="96">
        <v>878250</v>
      </c>
      <c r="GY15" s="96">
        <v>878250</v>
      </c>
      <c r="GZ15" s="96">
        <v>14134578</v>
      </c>
      <c r="HA15" s="96">
        <v>323709</v>
      </c>
      <c r="HB15" s="96">
        <v>771370</v>
      </c>
      <c r="HC15" s="96">
        <v>771370</v>
      </c>
      <c r="HD15" s="96">
        <v>885970</v>
      </c>
      <c r="HE15" s="96">
        <v>1309150</v>
      </c>
      <c r="HF15" s="96">
        <v>2506400</v>
      </c>
      <c r="HG15" s="96">
        <v>2506400</v>
      </c>
      <c r="HH15" s="96">
        <v>1622250</v>
      </c>
      <c r="HI15" s="96">
        <v>1622250</v>
      </c>
      <c r="HJ15" s="96">
        <v>219000</v>
      </c>
      <c r="HK15" s="96">
        <v>219000</v>
      </c>
      <c r="HL15" s="96">
        <v>3350000</v>
      </c>
      <c r="HM15" s="96">
        <v>3600000</v>
      </c>
      <c r="HN15" s="96">
        <v>220000</v>
      </c>
      <c r="HO15" s="96">
        <v>350000</v>
      </c>
      <c r="HP15" s="96">
        <v>745500</v>
      </c>
      <c r="HQ15" s="96">
        <v>745500</v>
      </c>
      <c r="HR15" s="96">
        <v>336059</v>
      </c>
      <c r="HS15" s="96">
        <v>378577</v>
      </c>
      <c r="HT15" s="96">
        <v>692250</v>
      </c>
      <c r="HU15" s="96"/>
      <c r="HV15" s="96">
        <v>805000</v>
      </c>
      <c r="HW15" s="96">
        <v>805000</v>
      </c>
      <c r="HX15" s="96">
        <v>5494495</v>
      </c>
      <c r="HY15" s="96">
        <v>5494495</v>
      </c>
      <c r="HZ15" s="96">
        <v>300000</v>
      </c>
      <c r="IA15" s="96">
        <v>300000</v>
      </c>
      <c r="IB15" s="96">
        <v>220000</v>
      </c>
      <c r="IC15" s="96">
        <v>220000</v>
      </c>
      <c r="ID15" s="96">
        <v>667625</v>
      </c>
      <c r="IE15" s="96">
        <v>884250</v>
      </c>
      <c r="IF15" s="96">
        <v>500000</v>
      </c>
      <c r="IG15" s="96">
        <v>500000</v>
      </c>
      <c r="IH15" s="96">
        <v>215000</v>
      </c>
      <c r="II15" s="96">
        <v>215000</v>
      </c>
      <c r="IJ15" s="96">
        <v>650550</v>
      </c>
      <c r="IK15" s="96">
        <v>650550</v>
      </c>
      <c r="IL15" s="96">
        <v>854000</v>
      </c>
      <c r="IM15" s="96">
        <v>854000</v>
      </c>
      <c r="IN15" s="96"/>
      <c r="IO15" s="96"/>
      <c r="IP15" s="96">
        <v>180000</v>
      </c>
      <c r="IQ15" s="96">
        <v>180000</v>
      </c>
      <c r="IR15" s="96">
        <v>315698</v>
      </c>
      <c r="IS15" s="96">
        <v>216000</v>
      </c>
      <c r="IT15" s="96">
        <v>900000</v>
      </c>
      <c r="IU15" s="96">
        <v>900000</v>
      </c>
      <c r="IV15" s="96">
        <v>2500000</v>
      </c>
      <c r="IW15" s="96">
        <v>2500000</v>
      </c>
      <c r="IX15" s="96">
        <v>2000000</v>
      </c>
      <c r="IY15" s="96">
        <v>2000000</v>
      </c>
      <c r="IZ15" s="96">
        <v>1250000</v>
      </c>
      <c r="JA15" s="96">
        <v>1250000</v>
      </c>
      <c r="JB15" s="96">
        <v>180000</v>
      </c>
      <c r="JC15" s="96">
        <v>622386</v>
      </c>
      <c r="JD15" s="96">
        <v>463500</v>
      </c>
      <c r="JE15" s="96">
        <v>463500</v>
      </c>
      <c r="JF15" s="96">
        <v>1338000</v>
      </c>
      <c r="JG15" s="96">
        <v>1338000</v>
      </c>
      <c r="JH15" s="96">
        <v>706200</v>
      </c>
      <c r="JI15" s="96">
        <v>1089000</v>
      </c>
      <c r="JJ15" s="96">
        <v>676500</v>
      </c>
      <c r="JK15" s="96">
        <v>676500</v>
      </c>
      <c r="JL15" s="96">
        <v>168000</v>
      </c>
      <c r="JM15" s="96">
        <v>168000</v>
      </c>
      <c r="JN15" s="96">
        <v>434500</v>
      </c>
      <c r="JO15" s="96"/>
      <c r="JP15" s="96"/>
      <c r="JQ15" s="96"/>
      <c r="JR15" s="96">
        <v>179000</v>
      </c>
      <c r="JS15" s="96">
        <v>179000</v>
      </c>
      <c r="JT15" s="96">
        <v>860000</v>
      </c>
      <c r="JU15" s="96">
        <v>860000</v>
      </c>
      <c r="JV15" s="96">
        <v>259000</v>
      </c>
      <c r="JW15" s="96">
        <v>259000</v>
      </c>
      <c r="JX15" s="96"/>
      <c r="JY15" s="96"/>
      <c r="JZ15" s="96">
        <v>800000</v>
      </c>
      <c r="KA15" s="96">
        <v>800000</v>
      </c>
      <c r="KB15" s="96">
        <v>1089200</v>
      </c>
      <c r="KC15" s="96">
        <v>1089200</v>
      </c>
      <c r="KD15" s="96">
        <v>851000</v>
      </c>
      <c r="KE15" s="96">
        <v>851000</v>
      </c>
      <c r="KF15" s="96">
        <v>463000</v>
      </c>
      <c r="KG15" s="96">
        <v>463000</v>
      </c>
      <c r="KH15" s="96">
        <v>734000</v>
      </c>
      <c r="KI15" s="96"/>
      <c r="KJ15" s="96">
        <v>85000</v>
      </c>
      <c r="KK15" s="96">
        <v>85000</v>
      </c>
      <c r="KL15" s="96">
        <v>1050000</v>
      </c>
      <c r="KM15" s="96">
        <v>1050000</v>
      </c>
      <c r="KN15" s="96">
        <v>805000</v>
      </c>
      <c r="KO15" s="96">
        <v>805000</v>
      </c>
      <c r="KP15" s="96">
        <v>1435548</v>
      </c>
      <c r="KQ15" s="96"/>
      <c r="KR15" s="96">
        <v>430000</v>
      </c>
      <c r="KS15" s="96">
        <v>530000</v>
      </c>
      <c r="KT15" s="96">
        <v>498000</v>
      </c>
      <c r="KU15" s="96">
        <v>498000</v>
      </c>
      <c r="KV15" s="96">
        <v>884250</v>
      </c>
      <c r="KW15" s="96"/>
      <c r="KX15" s="96">
        <v>82000</v>
      </c>
      <c r="KY15" s="96"/>
      <c r="KZ15" s="96">
        <v>1344233</v>
      </c>
      <c r="LA15" s="96">
        <v>1344234</v>
      </c>
      <c r="LB15" s="96">
        <v>580000</v>
      </c>
      <c r="LC15" s="96">
        <v>580000</v>
      </c>
      <c r="LD15" s="96">
        <v>878250</v>
      </c>
      <c r="LE15" s="96">
        <v>878250</v>
      </c>
      <c r="LF15" s="96">
        <v>323709</v>
      </c>
      <c r="LG15" s="96">
        <v>623709</v>
      </c>
      <c r="LH15" s="96">
        <v>771370</v>
      </c>
      <c r="LI15" s="96">
        <v>771370</v>
      </c>
      <c r="LJ15" s="96">
        <v>1309150</v>
      </c>
      <c r="LK15" s="96">
        <v>1309182</v>
      </c>
      <c r="LL15" s="96">
        <v>2506400</v>
      </c>
      <c r="LM15" s="96">
        <v>2506400</v>
      </c>
      <c r="LN15" s="96">
        <v>1622250</v>
      </c>
      <c r="LO15" s="96">
        <v>1622250</v>
      </c>
      <c r="LP15" s="96">
        <v>219000</v>
      </c>
      <c r="LQ15" s="96">
        <v>219000</v>
      </c>
      <c r="LR15" s="96">
        <v>3600000</v>
      </c>
      <c r="LS15" s="96">
        <v>3800000</v>
      </c>
      <c r="LT15" s="96">
        <v>350000</v>
      </c>
      <c r="LU15" s="96">
        <v>350000</v>
      </c>
      <c r="LV15" s="96">
        <v>745500</v>
      </c>
      <c r="LW15" s="96">
        <v>745500</v>
      </c>
      <c r="LX15" s="96">
        <v>378577</v>
      </c>
      <c r="LY15" s="96">
        <v>1042943</v>
      </c>
      <c r="LZ15" s="96"/>
      <c r="MA15" s="96"/>
      <c r="MB15" s="96">
        <v>805000</v>
      </c>
      <c r="MC15" s="96">
        <v>805000</v>
      </c>
      <c r="MD15" s="96">
        <v>5494495</v>
      </c>
      <c r="ME15" s="96">
        <v>5494495</v>
      </c>
      <c r="MF15" s="96">
        <v>300000</v>
      </c>
      <c r="MG15" s="96">
        <v>1000000</v>
      </c>
      <c r="MH15" s="96">
        <v>220000</v>
      </c>
      <c r="MI15" s="96">
        <v>220000</v>
      </c>
      <c r="MJ15" s="96">
        <v>884250</v>
      </c>
      <c r="MK15" s="96">
        <v>884250</v>
      </c>
      <c r="ML15" s="96">
        <v>500000</v>
      </c>
      <c r="MM15" s="96">
        <v>500000</v>
      </c>
      <c r="MN15" s="96">
        <v>215000</v>
      </c>
      <c r="MO15" s="96">
        <v>215000</v>
      </c>
      <c r="MP15" s="96">
        <v>650550</v>
      </c>
      <c r="MQ15" s="96">
        <v>1065713</v>
      </c>
      <c r="MR15" s="96">
        <v>854000</v>
      </c>
      <c r="MS15" s="96">
        <v>854000</v>
      </c>
      <c r="MT15" s="96">
        <v>794000</v>
      </c>
      <c r="MU15" s="96">
        <v>794000</v>
      </c>
      <c r="MV15" s="96">
        <v>180000</v>
      </c>
      <c r="MW15" s="96">
        <v>180000</v>
      </c>
      <c r="MX15" s="96">
        <v>216000</v>
      </c>
      <c r="MY15" s="96">
        <v>216000</v>
      </c>
      <c r="MZ15" s="96">
        <v>900000</v>
      </c>
      <c r="NA15" s="96">
        <v>900000</v>
      </c>
      <c r="NB15" s="96">
        <v>2500000</v>
      </c>
      <c r="NC15" s="96">
        <v>5298000</v>
      </c>
      <c r="ND15" s="96">
        <v>2000000</v>
      </c>
      <c r="NE15" s="96">
        <v>2000000</v>
      </c>
      <c r="NF15" s="96">
        <v>1250000</v>
      </c>
      <c r="NG15" s="96">
        <v>1250000</v>
      </c>
      <c r="NH15" s="391">
        <v>622386</v>
      </c>
      <c r="NI15" s="391">
        <v>622386</v>
      </c>
      <c r="NJ15" s="391">
        <v>463500</v>
      </c>
      <c r="NK15" s="391">
        <v>463500</v>
      </c>
      <c r="NL15" s="391">
        <v>1338000</v>
      </c>
      <c r="NM15" s="391">
        <v>1338000</v>
      </c>
      <c r="NN15" s="391">
        <v>1089000</v>
      </c>
      <c r="NO15" s="391">
        <v>1139160</v>
      </c>
      <c r="NP15" s="391">
        <v>676500</v>
      </c>
      <c r="NQ15" s="391">
        <v>676500</v>
      </c>
      <c r="NR15" s="391">
        <v>168000</v>
      </c>
      <c r="NS15" s="391">
        <v>168000</v>
      </c>
      <c r="NT15" s="391">
        <v>434500</v>
      </c>
      <c r="NU15" s="391"/>
      <c r="NV15" s="391"/>
      <c r="NW15" s="391"/>
      <c r="NX15" s="391">
        <v>179000</v>
      </c>
      <c r="NY15" s="391">
        <v>179000</v>
      </c>
      <c r="NZ15" s="391">
        <v>860000</v>
      </c>
      <c r="OA15" s="391">
        <v>860000</v>
      </c>
      <c r="OB15" s="391">
        <v>259000</v>
      </c>
      <c r="OC15" s="391">
        <v>259000</v>
      </c>
      <c r="OD15" s="391"/>
      <c r="OE15" s="391"/>
      <c r="OF15" s="391">
        <v>800000</v>
      </c>
      <c r="OG15" s="391">
        <v>1328000</v>
      </c>
      <c r="OH15" s="391">
        <v>1089200</v>
      </c>
      <c r="OI15" s="391">
        <v>1089200</v>
      </c>
      <c r="OJ15" s="391">
        <v>851000</v>
      </c>
      <c r="OK15" s="391">
        <v>851000</v>
      </c>
      <c r="OL15" s="391">
        <v>463000</v>
      </c>
      <c r="OM15" s="391">
        <v>463500</v>
      </c>
      <c r="ON15" s="391"/>
      <c r="OO15" s="391">
        <v>734000</v>
      </c>
      <c r="OP15" s="391">
        <v>85000</v>
      </c>
      <c r="OQ15" s="391">
        <v>85000</v>
      </c>
      <c r="OR15" s="391">
        <v>1050000</v>
      </c>
      <c r="OS15" s="391"/>
      <c r="OT15" s="391">
        <v>805000</v>
      </c>
      <c r="OU15" s="391">
        <v>805000</v>
      </c>
      <c r="OV15" s="391"/>
      <c r="OW15" s="391">
        <v>498000</v>
      </c>
      <c r="OX15" s="391">
        <v>530000</v>
      </c>
      <c r="OY15" s="391">
        <v>530000</v>
      </c>
      <c r="OZ15" s="391">
        <v>498000</v>
      </c>
      <c r="PA15" s="391">
        <v>498000</v>
      </c>
      <c r="PB15" s="391">
        <v>884250</v>
      </c>
      <c r="PC15" s="391">
        <v>884250</v>
      </c>
      <c r="PD15" s="391"/>
      <c r="PE15" s="391"/>
      <c r="PF15" s="391">
        <v>1344234</v>
      </c>
      <c r="PG15" s="391">
        <v>1344000</v>
      </c>
      <c r="PH15" s="391">
        <v>580000</v>
      </c>
      <c r="PI15" s="391"/>
      <c r="PJ15" s="391">
        <v>878250</v>
      </c>
      <c r="PK15" s="391">
        <v>878250</v>
      </c>
      <c r="PL15" s="391">
        <v>623709</v>
      </c>
      <c r="PM15" s="391">
        <v>623709</v>
      </c>
      <c r="PN15" s="391">
        <v>771370</v>
      </c>
      <c r="PO15" s="391">
        <v>771370</v>
      </c>
      <c r="PP15" s="391">
        <v>1309182</v>
      </c>
      <c r="PQ15" s="391">
        <v>1309182</v>
      </c>
      <c r="PR15" s="391">
        <v>2506400</v>
      </c>
      <c r="PS15" s="391">
        <v>2506400</v>
      </c>
      <c r="PT15" s="391">
        <v>1622250</v>
      </c>
      <c r="PU15" s="391">
        <v>1622250</v>
      </c>
      <c r="PV15" s="391">
        <v>219000</v>
      </c>
      <c r="PW15" s="391">
        <v>219000</v>
      </c>
      <c r="PX15" s="391">
        <v>3800000</v>
      </c>
      <c r="PY15" s="391">
        <v>3900000</v>
      </c>
      <c r="PZ15" s="391">
        <v>350000</v>
      </c>
      <c r="QA15" s="391">
        <v>350000</v>
      </c>
      <c r="QB15" s="391">
        <v>745500</v>
      </c>
      <c r="QC15" s="391">
        <v>1258000</v>
      </c>
      <c r="QD15" s="391">
        <v>1042943</v>
      </c>
      <c r="QE15" s="391">
        <v>1042943</v>
      </c>
      <c r="QF15" s="391"/>
      <c r="QG15" s="391"/>
      <c r="QH15" s="391">
        <v>805000</v>
      </c>
      <c r="QI15" s="391">
        <v>805000</v>
      </c>
      <c r="QJ15" s="391">
        <v>5494495</v>
      </c>
      <c r="QK15" s="391">
        <v>5494495</v>
      </c>
      <c r="QL15" s="391">
        <v>1000000</v>
      </c>
      <c r="QM15" s="391">
        <v>1000000</v>
      </c>
      <c r="QN15" s="391">
        <v>220000</v>
      </c>
      <c r="QO15" s="391">
        <v>220000</v>
      </c>
      <c r="QP15" s="391">
        <v>884250</v>
      </c>
      <c r="QQ15" s="391">
        <v>884250</v>
      </c>
      <c r="QR15" s="391">
        <v>500000</v>
      </c>
      <c r="QS15" s="391">
        <v>500000</v>
      </c>
      <c r="QT15" s="391">
        <v>215000</v>
      </c>
      <c r="QU15" s="391">
        <v>215000</v>
      </c>
      <c r="QV15" s="391">
        <v>650550</v>
      </c>
      <c r="QW15" s="391">
        <v>1065713</v>
      </c>
      <c r="QX15" s="391">
        <v>854000</v>
      </c>
      <c r="QY15" s="391">
        <v>854000</v>
      </c>
      <c r="QZ15" s="391">
        <v>794000</v>
      </c>
      <c r="RA15" s="391">
        <v>794000</v>
      </c>
      <c r="RB15" s="391">
        <v>180000</v>
      </c>
      <c r="RC15" s="391">
        <v>180000</v>
      </c>
      <c r="RD15" s="391">
        <v>216000</v>
      </c>
      <c r="RE15" s="391">
        <v>216000</v>
      </c>
      <c r="RF15" s="391">
        <v>900000</v>
      </c>
      <c r="RG15" s="391"/>
      <c r="RH15" s="391">
        <v>2500000</v>
      </c>
      <c r="RI15" s="391">
        <v>5298000</v>
      </c>
      <c r="RJ15" s="391">
        <v>2000000</v>
      </c>
      <c r="RK15" s="391">
        <v>2000000</v>
      </c>
      <c r="RL15" s="391">
        <v>1250000</v>
      </c>
      <c r="RM15" s="391">
        <v>1250000</v>
      </c>
      <c r="RN15" s="96">
        <v>622386</v>
      </c>
      <c r="RO15" s="96">
        <v>622386</v>
      </c>
      <c r="RP15" s="96">
        <v>463500</v>
      </c>
      <c r="RQ15" s="96">
        <v>463500</v>
      </c>
      <c r="RR15" s="96">
        <v>1338000</v>
      </c>
      <c r="RS15" s="96">
        <v>1338000</v>
      </c>
      <c r="RT15" s="96">
        <v>1139160</v>
      </c>
      <c r="RU15" s="96">
        <v>1139160</v>
      </c>
      <c r="RV15" s="96">
        <v>676500</v>
      </c>
      <c r="RW15" s="96">
        <v>676500</v>
      </c>
      <c r="RX15" s="96">
        <v>168000</v>
      </c>
      <c r="RY15" s="96">
        <v>168000</v>
      </c>
      <c r="RZ15" s="96"/>
      <c r="SA15" s="96"/>
      <c r="SB15" s="96"/>
      <c r="SC15" s="96"/>
      <c r="SD15" s="96">
        <v>179000</v>
      </c>
      <c r="SE15" s="96">
        <v>179000</v>
      </c>
      <c r="SF15" s="96">
        <v>860000</v>
      </c>
      <c r="SG15" s="96">
        <v>860000</v>
      </c>
      <c r="SH15" s="96">
        <v>259000</v>
      </c>
      <c r="SI15" s="96">
        <v>259000</v>
      </c>
      <c r="SJ15" s="96"/>
      <c r="SK15" s="96"/>
      <c r="SL15" s="96">
        <v>1328000</v>
      </c>
      <c r="SM15" s="96">
        <v>1328000</v>
      </c>
      <c r="SN15" s="96">
        <v>1089200</v>
      </c>
      <c r="SO15" s="96">
        <v>1089200</v>
      </c>
      <c r="SP15" s="96">
        <v>851000</v>
      </c>
      <c r="SQ15" s="96">
        <v>851000</v>
      </c>
      <c r="SR15" s="96">
        <v>463500</v>
      </c>
      <c r="SS15" s="96">
        <v>463500</v>
      </c>
      <c r="ST15" s="96">
        <v>734000</v>
      </c>
      <c r="SU15" s="96"/>
      <c r="SV15" s="96">
        <v>85000</v>
      </c>
      <c r="SW15" s="96">
        <v>85000</v>
      </c>
      <c r="SX15" s="96">
        <v>1050000</v>
      </c>
      <c r="SY15" s="96">
        <v>1350000</v>
      </c>
      <c r="SZ15" s="96">
        <v>805000</v>
      </c>
      <c r="TA15" s="96">
        <v>805000</v>
      </c>
      <c r="TB15" s="96">
        <v>498000</v>
      </c>
      <c r="TC15" s="96"/>
      <c r="TD15" s="96">
        <v>530000</v>
      </c>
      <c r="TE15" s="96">
        <v>530000</v>
      </c>
      <c r="TF15" s="96">
        <v>500000</v>
      </c>
      <c r="TG15" s="96">
        <v>500000</v>
      </c>
      <c r="TH15" s="96">
        <v>884250</v>
      </c>
      <c r="TI15" s="96">
        <v>884250</v>
      </c>
      <c r="TJ15" s="96"/>
      <c r="TK15" s="96"/>
      <c r="TL15" s="96">
        <v>1344000</v>
      </c>
      <c r="TM15" s="96">
        <v>1344000</v>
      </c>
      <c r="TN15" s="96"/>
      <c r="TO15" s="96">
        <v>580000</v>
      </c>
      <c r="TP15" s="96">
        <v>991018</v>
      </c>
      <c r="TQ15" s="96">
        <v>1138740</v>
      </c>
      <c r="TR15" s="96">
        <v>623709</v>
      </c>
      <c r="TS15" s="96">
        <v>623709</v>
      </c>
      <c r="TT15" s="96">
        <v>771370</v>
      </c>
      <c r="TU15" s="96">
        <v>771370</v>
      </c>
      <c r="TV15" s="96">
        <v>1309150000</v>
      </c>
      <c r="TW15" s="96">
        <v>1309150000</v>
      </c>
      <c r="TX15" s="96">
        <v>2506400</v>
      </c>
      <c r="TY15" s="96">
        <v>2506400</v>
      </c>
      <c r="TZ15" s="96">
        <v>1622250</v>
      </c>
      <c r="UA15" s="96">
        <v>1622250</v>
      </c>
      <c r="UB15" s="96">
        <v>219000</v>
      </c>
      <c r="UC15" s="96"/>
      <c r="UD15" s="96">
        <v>3900000</v>
      </c>
      <c r="UE15" s="96">
        <v>4500000</v>
      </c>
      <c r="UF15" s="96">
        <v>350000</v>
      </c>
      <c r="UG15" s="96">
        <v>350000</v>
      </c>
      <c r="UH15" s="96">
        <v>1258000</v>
      </c>
      <c r="UI15" s="96">
        <v>1258000</v>
      </c>
      <c r="UJ15" s="96">
        <v>1042943</v>
      </c>
      <c r="UK15" s="96">
        <v>1042943</v>
      </c>
      <c r="UL15" s="96"/>
      <c r="UM15" s="96"/>
      <c r="UN15" s="96">
        <v>805000</v>
      </c>
      <c r="UO15" s="96">
        <v>805000</v>
      </c>
      <c r="UP15" s="96">
        <v>5494495</v>
      </c>
      <c r="UQ15" s="96">
        <v>5494495</v>
      </c>
      <c r="UR15" s="96">
        <v>1000000</v>
      </c>
      <c r="US15" s="96">
        <v>2200000</v>
      </c>
      <c r="UT15" s="96">
        <v>220000</v>
      </c>
      <c r="UU15" s="96"/>
      <c r="UV15" s="96">
        <v>884250</v>
      </c>
      <c r="UW15" s="96">
        <v>884250</v>
      </c>
      <c r="UX15" s="96">
        <v>500000</v>
      </c>
      <c r="UY15" s="96">
        <v>500000</v>
      </c>
      <c r="UZ15" s="96">
        <v>215000</v>
      </c>
      <c r="VA15" s="96">
        <v>215000</v>
      </c>
      <c r="VB15" s="96">
        <v>1868848</v>
      </c>
      <c r="VC15" s="96">
        <v>2899796</v>
      </c>
      <c r="VD15" s="96">
        <v>854000</v>
      </c>
      <c r="VE15" s="96">
        <v>854000</v>
      </c>
      <c r="VF15" s="96">
        <v>794000</v>
      </c>
      <c r="VG15" s="96"/>
      <c r="VH15" s="96">
        <v>180000</v>
      </c>
      <c r="VI15" s="96">
        <v>180000</v>
      </c>
      <c r="VJ15" s="96">
        <v>216000</v>
      </c>
      <c r="VK15" s="96">
        <v>216000</v>
      </c>
      <c r="VL15" s="96"/>
      <c r="VM15" s="96">
        <v>900000</v>
      </c>
      <c r="VN15" s="96">
        <v>5298000</v>
      </c>
      <c r="VO15" s="96"/>
      <c r="VP15" s="96">
        <v>2000000</v>
      </c>
      <c r="VQ15" s="96">
        <v>5000000</v>
      </c>
      <c r="VR15" s="96">
        <v>1250000</v>
      </c>
      <c r="VS15" s="96">
        <v>1250000</v>
      </c>
      <c r="VT15" s="96">
        <v>622386</v>
      </c>
      <c r="VU15" s="96">
        <v>622386</v>
      </c>
      <c r="VV15" s="96">
        <v>463500</v>
      </c>
      <c r="VW15" s="96">
        <v>463500</v>
      </c>
      <c r="VX15" s="96">
        <v>1338000</v>
      </c>
      <c r="VY15" s="96">
        <v>1338000</v>
      </c>
      <c r="VZ15" s="96">
        <v>1139160</v>
      </c>
      <c r="WA15" s="96">
        <v>1139160</v>
      </c>
      <c r="WB15" s="96">
        <v>676500</v>
      </c>
      <c r="WC15" s="96">
        <v>676500</v>
      </c>
      <c r="WD15" s="96">
        <v>168000</v>
      </c>
      <c r="WE15" s="96">
        <v>168000</v>
      </c>
      <c r="WF15" s="96"/>
      <c r="WG15" s="96"/>
      <c r="WH15" s="96"/>
      <c r="WI15" s="96"/>
      <c r="WJ15" s="96">
        <v>179000</v>
      </c>
      <c r="WK15" s="96">
        <v>179000</v>
      </c>
      <c r="WL15" s="96">
        <v>860000</v>
      </c>
      <c r="WM15" s="96">
        <v>860000</v>
      </c>
      <c r="WN15" s="96">
        <v>259000</v>
      </c>
      <c r="WO15" s="96">
        <v>650000</v>
      </c>
      <c r="WP15" s="96"/>
      <c r="WQ15" s="96"/>
      <c r="WR15" s="96">
        <v>800000</v>
      </c>
      <c r="WS15" s="96">
        <v>800000</v>
      </c>
      <c r="WT15" s="96">
        <v>1089200</v>
      </c>
      <c r="WU15" s="96">
        <v>1089200</v>
      </c>
      <c r="WV15" s="96">
        <v>851000</v>
      </c>
      <c r="WW15" s="96">
        <v>851000</v>
      </c>
      <c r="WX15" s="96">
        <v>463500</v>
      </c>
      <c r="WY15" s="96">
        <v>463500</v>
      </c>
      <c r="WZ15" s="96"/>
      <c r="XA15" s="96">
        <v>734000</v>
      </c>
      <c r="XB15" s="96">
        <v>85000</v>
      </c>
      <c r="XC15" s="96">
        <v>85000</v>
      </c>
      <c r="XD15" s="96">
        <v>1350000</v>
      </c>
      <c r="XE15" s="96">
        <v>1350000</v>
      </c>
      <c r="XF15" s="96">
        <v>805000</v>
      </c>
      <c r="XG15" s="96">
        <v>805000</v>
      </c>
      <c r="XH15" s="96">
        <v>498000</v>
      </c>
      <c r="XI15" s="96">
        <v>498000</v>
      </c>
      <c r="XJ15" s="96">
        <v>530000</v>
      </c>
      <c r="XK15" s="96">
        <v>530000</v>
      </c>
      <c r="XL15" s="96">
        <v>500000</v>
      </c>
      <c r="XM15" s="96">
        <v>500000</v>
      </c>
      <c r="XN15" s="96">
        <v>884250</v>
      </c>
      <c r="XO15" s="96">
        <v>884250</v>
      </c>
      <c r="XP15" s="96"/>
      <c r="XQ15" s="96"/>
      <c r="XR15" s="96">
        <v>1344000</v>
      </c>
      <c r="XS15" s="96">
        <v>1344000</v>
      </c>
      <c r="XT15" s="96">
        <v>580000</v>
      </c>
      <c r="XU15" s="96">
        <v>580000</v>
      </c>
      <c r="XV15" s="96">
        <v>878250</v>
      </c>
      <c r="XW15" s="96">
        <v>878250</v>
      </c>
      <c r="XX15" s="96">
        <v>623709</v>
      </c>
      <c r="XY15" s="96">
        <v>623709</v>
      </c>
      <c r="XZ15" s="96">
        <v>771370</v>
      </c>
      <c r="YA15" s="96">
        <v>771370</v>
      </c>
      <c r="YB15" s="96">
        <v>1309150</v>
      </c>
      <c r="YC15" s="96">
        <v>1309150</v>
      </c>
      <c r="YD15" s="96">
        <v>2506400</v>
      </c>
      <c r="YE15" s="96">
        <v>2506400</v>
      </c>
      <c r="YF15" s="96">
        <v>1622250</v>
      </c>
      <c r="YG15" s="96">
        <v>1622250</v>
      </c>
      <c r="YH15" s="96"/>
      <c r="YI15" s="96"/>
      <c r="YJ15" s="96">
        <v>4500000</v>
      </c>
      <c r="YK15" s="96"/>
      <c r="YL15" s="96">
        <v>350000000</v>
      </c>
      <c r="YM15" s="96">
        <v>350000000</v>
      </c>
      <c r="YN15" s="96">
        <v>1258000</v>
      </c>
      <c r="YO15" s="96">
        <v>1300200</v>
      </c>
      <c r="YP15" s="96">
        <v>1042943</v>
      </c>
      <c r="YQ15" s="96">
        <v>1042943</v>
      </c>
      <c r="YR15" s="96"/>
      <c r="YS15" s="96"/>
      <c r="YT15" s="96">
        <v>805000</v>
      </c>
      <c r="YU15" s="96">
        <v>2440527</v>
      </c>
      <c r="YV15" s="96">
        <v>5494495</v>
      </c>
      <c r="YW15" s="96">
        <v>5494495</v>
      </c>
      <c r="YX15" s="96">
        <v>2200000</v>
      </c>
      <c r="YY15" s="96">
        <v>2200000</v>
      </c>
      <c r="YZ15" s="96">
        <v>220000</v>
      </c>
      <c r="ZA15" s="96">
        <v>220000</v>
      </c>
      <c r="ZB15" s="96">
        <v>884250</v>
      </c>
      <c r="ZC15" s="96">
        <v>884250</v>
      </c>
      <c r="ZD15" s="96">
        <v>500000</v>
      </c>
      <c r="ZE15" s="96">
        <v>500000</v>
      </c>
      <c r="ZF15" s="96">
        <v>215000</v>
      </c>
      <c r="ZG15" s="96">
        <v>215000</v>
      </c>
      <c r="ZH15" s="96">
        <v>2899796</v>
      </c>
      <c r="ZI15" s="96">
        <v>2899796</v>
      </c>
      <c r="ZJ15" s="96">
        <v>854000</v>
      </c>
      <c r="ZK15" s="96">
        <v>854000</v>
      </c>
      <c r="ZL15" s="96"/>
      <c r="ZM15" s="96"/>
      <c r="ZN15" s="96">
        <v>180000</v>
      </c>
      <c r="ZO15" s="96">
        <v>180000</v>
      </c>
      <c r="ZP15" s="96">
        <v>216000</v>
      </c>
      <c r="ZQ15" s="96"/>
      <c r="ZR15" s="96">
        <v>900000</v>
      </c>
      <c r="ZS15" s="96">
        <v>900000</v>
      </c>
      <c r="ZT15" s="96"/>
      <c r="ZU15" s="96"/>
      <c r="ZV15" s="96">
        <v>5000000</v>
      </c>
      <c r="ZW15" s="96">
        <v>6000000</v>
      </c>
      <c r="ZX15" s="96">
        <v>1250000</v>
      </c>
      <c r="ZY15" s="96">
        <v>1250000</v>
      </c>
      <c r="ZZ15" s="762">
        <v>1338000</v>
      </c>
      <c r="AAA15" s="737">
        <v>1338000</v>
      </c>
      <c r="AAB15" s="762">
        <v>1139160</v>
      </c>
      <c r="AAC15" s="762">
        <v>1139160</v>
      </c>
      <c r="AAD15" s="762">
        <v>1586500</v>
      </c>
      <c r="AAE15" s="762">
        <v>1586500</v>
      </c>
      <c r="AAF15" s="762">
        <v>168000</v>
      </c>
      <c r="AAG15" s="737">
        <v>168000</v>
      </c>
      <c r="AAH15" s="762">
        <v>179000</v>
      </c>
      <c r="AAI15" s="762">
        <v>179000</v>
      </c>
      <c r="AAJ15" s="762">
        <v>800000</v>
      </c>
      <c r="AAK15" s="762">
        <v>800000</v>
      </c>
      <c r="AAL15" s="762">
        <v>851000</v>
      </c>
      <c r="AAM15" s="762">
        <v>851000</v>
      </c>
      <c r="AAN15" s="762">
        <v>463500</v>
      </c>
      <c r="AAO15" s="762">
        <v>463500</v>
      </c>
      <c r="AAP15" s="737">
        <v>734000</v>
      </c>
      <c r="AAQ15" s="762">
        <v>734000</v>
      </c>
      <c r="AAR15" s="762">
        <v>150000</v>
      </c>
      <c r="AAS15" s="762">
        <v>150000</v>
      </c>
      <c r="AAT15" s="765"/>
      <c r="AAU15" s="766">
        <v>1050000</v>
      </c>
      <c r="AAV15" s="741">
        <v>380000</v>
      </c>
      <c r="AAW15" s="741">
        <v>380000</v>
      </c>
      <c r="AAX15" s="762">
        <v>1400000</v>
      </c>
      <c r="AAY15" s="737">
        <v>1400000</v>
      </c>
      <c r="AAZ15" s="737">
        <v>830000</v>
      </c>
      <c r="ABA15" s="737">
        <v>830000</v>
      </c>
      <c r="ABB15" s="762">
        <v>500000</v>
      </c>
      <c r="ABC15" s="762">
        <v>500000</v>
      </c>
      <c r="ABD15" s="762">
        <v>1344000</v>
      </c>
      <c r="ABE15" s="766">
        <v>1344000</v>
      </c>
      <c r="ABF15" s="739">
        <v>1260000</v>
      </c>
      <c r="ABG15" s="739">
        <v>1500000</v>
      </c>
      <c r="ABH15" s="765">
        <v>1100000</v>
      </c>
      <c r="ABI15" s="762">
        <v>1100000</v>
      </c>
      <c r="ABJ15" s="762">
        <v>623709</v>
      </c>
      <c r="ABK15" s="762">
        <v>623709</v>
      </c>
      <c r="ABL15" s="762">
        <v>771370</v>
      </c>
      <c r="ABM15" s="762">
        <v>771370</v>
      </c>
      <c r="ABN15" s="762">
        <v>1501710</v>
      </c>
      <c r="ABO15" s="762">
        <v>1501710</v>
      </c>
      <c r="ABP15" s="762">
        <v>1000000</v>
      </c>
      <c r="ABQ15" s="762">
        <v>1000000</v>
      </c>
      <c r="ABR15" s="762">
        <v>1622250</v>
      </c>
      <c r="ABS15" s="762">
        <v>1622250</v>
      </c>
      <c r="ABT15" s="762">
        <v>1000000</v>
      </c>
      <c r="ABU15" s="762">
        <v>1000000</v>
      </c>
      <c r="ABV15" s="762">
        <v>4500000</v>
      </c>
      <c r="ABW15" s="762">
        <v>4500000</v>
      </c>
      <c r="ABX15" s="762">
        <v>350000</v>
      </c>
      <c r="ABY15" s="762">
        <v>350000</v>
      </c>
      <c r="ABZ15" s="762">
        <v>1042943</v>
      </c>
      <c r="ACA15" s="762">
        <v>1042943</v>
      </c>
      <c r="ACB15" s="762">
        <v>2000000</v>
      </c>
      <c r="ACC15" s="762">
        <v>2000000</v>
      </c>
      <c r="ACD15" s="762">
        <v>2440527</v>
      </c>
      <c r="ACE15" s="762">
        <v>2440527</v>
      </c>
      <c r="ACF15" s="762">
        <v>2800000</v>
      </c>
      <c r="ACG15" s="737">
        <v>2800000</v>
      </c>
      <c r="ACH15" s="762">
        <v>2200000</v>
      </c>
      <c r="ACI15" s="762">
        <v>2200000</v>
      </c>
      <c r="ACJ15" s="762">
        <v>220000</v>
      </c>
      <c r="ACK15" s="737">
        <v>220000</v>
      </c>
      <c r="ACL15" s="762">
        <v>500000</v>
      </c>
      <c r="ACM15" s="762">
        <v>500000</v>
      </c>
      <c r="ACN15" s="762">
        <v>215000</v>
      </c>
      <c r="ACO15" s="762">
        <v>215000</v>
      </c>
      <c r="ACP15" s="762">
        <v>2899796</v>
      </c>
      <c r="ACQ15" s="767">
        <v>2899796</v>
      </c>
      <c r="ACR15" s="767">
        <v>970000</v>
      </c>
      <c r="ACS15" s="767">
        <v>1684650</v>
      </c>
      <c r="ACT15" s="762">
        <v>180000</v>
      </c>
      <c r="ACU15" s="768">
        <v>180000</v>
      </c>
      <c r="ACV15" s="737">
        <v>216000</v>
      </c>
      <c r="ACW15" s="737">
        <v>216000</v>
      </c>
      <c r="ACX15" s="762">
        <v>2000000</v>
      </c>
      <c r="ACY15" s="762">
        <v>2000000</v>
      </c>
      <c r="ACZ15" s="744">
        <v>1350000</v>
      </c>
      <c r="ADA15" s="744">
        <v>1350000</v>
      </c>
      <c r="ADB15" s="744">
        <v>860000</v>
      </c>
      <c r="ADC15" s="744">
        <v>860000</v>
      </c>
      <c r="ADD15" s="745">
        <v>463500000</v>
      </c>
      <c r="ADE15" s="745">
        <v>463500000</v>
      </c>
      <c r="ADF15" s="746">
        <v>1586500000</v>
      </c>
      <c r="ADG15" s="746">
        <v>1586500000</v>
      </c>
      <c r="ADH15" s="744">
        <v>168000000</v>
      </c>
      <c r="ADI15" s="744">
        <v>168000000</v>
      </c>
      <c r="ADJ15" s="746">
        <v>734000000</v>
      </c>
      <c r="ADK15" s="746">
        <v>734000000</v>
      </c>
      <c r="ADL15" s="744"/>
      <c r="ADM15" s="744"/>
      <c r="ADN15" s="746">
        <v>970000000</v>
      </c>
      <c r="ADO15" s="746">
        <v>970000000</v>
      </c>
      <c r="ADP15" s="747">
        <v>650000000</v>
      </c>
      <c r="ADQ15" s="747">
        <v>650000000</v>
      </c>
      <c r="ADR15" s="746"/>
      <c r="ADS15" s="746"/>
      <c r="ADT15" s="746">
        <v>1200000000</v>
      </c>
      <c r="ADU15" s="746">
        <v>1200000000</v>
      </c>
      <c r="ADV15" s="746">
        <v>1400000000</v>
      </c>
      <c r="ADW15" s="746">
        <v>1400000000</v>
      </c>
      <c r="ADX15" s="746">
        <v>500000000</v>
      </c>
      <c r="ADY15" s="746">
        <v>500000000</v>
      </c>
      <c r="ADZ15" s="746">
        <v>771370000</v>
      </c>
      <c r="AEA15" s="746">
        <v>771370000</v>
      </c>
      <c r="AEB15" s="746">
        <v>1344000000</v>
      </c>
      <c r="AEC15" s="746">
        <v>1344000000</v>
      </c>
      <c r="AED15" s="746">
        <v>1500000000</v>
      </c>
      <c r="AEE15" s="746">
        <v>1500000000</v>
      </c>
      <c r="AEF15" s="748">
        <v>1050000000</v>
      </c>
      <c r="AEG15" s="748">
        <v>1050000000</v>
      </c>
      <c r="AEH15" s="746">
        <v>623710</v>
      </c>
      <c r="AEI15" s="746">
        <v>623710</v>
      </c>
      <c r="AEJ15" s="746">
        <v>1100000000</v>
      </c>
      <c r="AEK15" s="746">
        <v>1100000000</v>
      </c>
      <c r="AEL15" s="746">
        <v>1501710029</v>
      </c>
      <c r="AEM15" s="746">
        <v>1501710029</v>
      </c>
      <c r="AEN15" s="744">
        <v>2506400</v>
      </c>
      <c r="AEO15" s="744">
        <v>2506400</v>
      </c>
      <c r="AEP15" s="746">
        <v>1622250000</v>
      </c>
      <c r="AEQ15" s="746">
        <v>1622250000</v>
      </c>
      <c r="AER15" s="744"/>
      <c r="AES15" s="744"/>
      <c r="AET15" s="744"/>
      <c r="AEU15" s="744"/>
      <c r="AEV15" s="744">
        <v>4500000</v>
      </c>
      <c r="AEW15" s="744">
        <v>4500000</v>
      </c>
      <c r="AEX15" s="746">
        <v>350000000</v>
      </c>
      <c r="AEY15" s="746">
        <v>350000000</v>
      </c>
      <c r="AEZ15" s="750"/>
      <c r="AFA15" s="749"/>
      <c r="AFB15" s="746">
        <v>1042943000</v>
      </c>
      <c r="AFC15" s="746">
        <v>1042943000</v>
      </c>
      <c r="AFD15" s="746">
        <v>800000000</v>
      </c>
      <c r="AFE15" s="746">
        <v>800000000</v>
      </c>
      <c r="AFF15" s="746">
        <v>2440527492</v>
      </c>
      <c r="AFG15" s="746">
        <v>2440527492</v>
      </c>
      <c r="AFH15" s="746">
        <v>4000000000</v>
      </c>
      <c r="AFI15" s="746">
        <v>4000000000</v>
      </c>
      <c r="AFJ15" s="746"/>
      <c r="AFK15" s="746"/>
      <c r="AFL15" s="744">
        <v>215000</v>
      </c>
      <c r="AFM15" s="744">
        <v>215000</v>
      </c>
      <c r="AFN15" s="744">
        <v>11504727</v>
      </c>
      <c r="AFO15" s="744">
        <v>11504727</v>
      </c>
      <c r="AFP15" s="751">
        <v>2899796742</v>
      </c>
      <c r="AFQ15" s="751">
        <v>2899796741</v>
      </c>
      <c r="AFR15" s="744">
        <v>1684650000</v>
      </c>
      <c r="AFS15" s="744">
        <v>1684650000</v>
      </c>
      <c r="AFT15" s="746">
        <v>500000000</v>
      </c>
      <c r="AFU15" s="746">
        <v>500000000</v>
      </c>
      <c r="AFV15" s="769">
        <v>180000000</v>
      </c>
      <c r="AFW15" s="769">
        <v>180000000</v>
      </c>
      <c r="AFX15" s="746">
        <v>54581021696</v>
      </c>
      <c r="AFY15" s="746">
        <v>34919537665</v>
      </c>
      <c r="AFZ15" s="638">
        <v>800000000</v>
      </c>
      <c r="AGA15" s="638">
        <v>1000000000</v>
      </c>
      <c r="AGB15" s="638">
        <v>1042943000</v>
      </c>
      <c r="AGC15" s="638">
        <v>1042943000</v>
      </c>
      <c r="AGD15" s="638">
        <v>1100000000</v>
      </c>
      <c r="AGE15" s="638">
        <v>1100000000</v>
      </c>
      <c r="AGF15" s="638">
        <v>150000000</v>
      </c>
      <c r="AGG15" s="638">
        <v>150000000</v>
      </c>
      <c r="AGH15" s="638">
        <v>1586500000</v>
      </c>
      <c r="AGI15" s="638">
        <v>1586500000</v>
      </c>
      <c r="AGJ15" s="752">
        <v>5000000</v>
      </c>
      <c r="AGK15" s="752">
        <v>5000000</v>
      </c>
      <c r="AGL15" s="638">
        <v>1344000000</v>
      </c>
      <c r="AGM15" s="638">
        <v>1344000000</v>
      </c>
      <c r="AGN15" s="638">
        <v>1622250000</v>
      </c>
      <c r="AGO15" s="638">
        <v>1622250000</v>
      </c>
      <c r="AGP15" s="638">
        <v>150000000</v>
      </c>
      <c r="AGQ15" s="638">
        <v>150000000</v>
      </c>
      <c r="AGR15" s="638">
        <v>2506400000</v>
      </c>
      <c r="AGS15" s="638">
        <v>2506400000</v>
      </c>
      <c r="AGT15" s="638">
        <v>215000000</v>
      </c>
      <c r="AGU15" s="638">
        <v>215000000</v>
      </c>
      <c r="AGV15" s="638">
        <v>500000000</v>
      </c>
      <c r="AGW15" s="638">
        <v>500000000</v>
      </c>
      <c r="AGX15" s="638">
        <v>950000000</v>
      </c>
      <c r="AGY15" s="638">
        <v>950000000</v>
      </c>
      <c r="AGZ15" s="638">
        <v>966000000</v>
      </c>
      <c r="AHA15" s="638">
        <v>966000000</v>
      </c>
      <c r="AHB15" s="638">
        <v>580000000</v>
      </c>
      <c r="AHC15" s="638">
        <v>580000000</v>
      </c>
      <c r="AHD15" s="638">
        <v>1501710029</v>
      </c>
      <c r="AHE15" s="638">
        <v>1501710029</v>
      </c>
      <c r="AHF15" s="638">
        <v>2600000000</v>
      </c>
      <c r="AHG15" s="638">
        <v>2600000000</v>
      </c>
      <c r="AHH15" s="638">
        <v>1050000000</v>
      </c>
      <c r="AHI15" s="638">
        <v>1050000000</v>
      </c>
      <c r="AHJ15" s="638">
        <v>500000000</v>
      </c>
      <c r="AHK15" s="638">
        <v>500000000</v>
      </c>
      <c r="AHL15" s="638">
        <v>250000000</v>
      </c>
      <c r="AHM15" s="638">
        <v>250000000</v>
      </c>
      <c r="AHN15" s="638">
        <v>4000000000</v>
      </c>
      <c r="AHO15" s="638">
        <v>5590868881</v>
      </c>
      <c r="AHP15" s="638">
        <v>860000000</v>
      </c>
      <c r="AHQ15" s="638">
        <v>860000000</v>
      </c>
      <c r="AHR15" s="638">
        <v>1200000000</v>
      </c>
      <c r="AHS15" s="638">
        <v>1200000000</v>
      </c>
      <c r="AHT15" s="638">
        <v>1400000000</v>
      </c>
      <c r="AHU15" s="638">
        <v>1400000000</v>
      </c>
      <c r="AHV15" s="638">
        <v>734000000</v>
      </c>
      <c r="AHW15" s="638">
        <v>734000000</v>
      </c>
      <c r="AHX15" s="638">
        <v>463500000</v>
      </c>
      <c r="AHY15" s="638">
        <v>463500000</v>
      </c>
      <c r="AHZ15" s="638">
        <v>2440527492</v>
      </c>
      <c r="AIA15" s="638">
        <v>2440527492</v>
      </c>
      <c r="AIB15" s="638">
        <v>6570000000</v>
      </c>
      <c r="AIC15" s="638">
        <v>6570000000</v>
      </c>
      <c r="AID15" s="638">
        <v>4500000000</v>
      </c>
      <c r="AIE15" s="638">
        <v>4500000000</v>
      </c>
      <c r="AIF15" s="638">
        <v>1062614000</v>
      </c>
      <c r="AIG15" s="638">
        <v>1062614000</v>
      </c>
      <c r="AIH15" s="644"/>
      <c r="AII15" s="638">
        <v>180000000</v>
      </c>
      <c r="AIJ15" s="638">
        <v>1500000000</v>
      </c>
      <c r="AIK15" s="638">
        <v>1500000000</v>
      </c>
      <c r="AIL15" s="638">
        <v>854000000</v>
      </c>
      <c r="AIM15" s="638">
        <v>854000000</v>
      </c>
      <c r="AIN15" s="644"/>
      <c r="AIO15" s="638">
        <v>450000</v>
      </c>
      <c r="AIP15" s="644"/>
      <c r="AIQ15" s="638">
        <v>5000000</v>
      </c>
      <c r="AIR15" s="637">
        <v>11504727000</v>
      </c>
      <c r="AIS15" s="637">
        <v>11504727000</v>
      </c>
      <c r="AIT15" s="637">
        <v>650000000</v>
      </c>
      <c r="AIU15" s="637">
        <v>650000000</v>
      </c>
      <c r="AIV15" s="637">
        <v>200000000</v>
      </c>
      <c r="AIW15" s="637">
        <v>200000000</v>
      </c>
      <c r="AIX15" s="638">
        <v>650000</v>
      </c>
      <c r="AIY15" s="638">
        <v>650000</v>
      </c>
      <c r="AIZ15" s="638">
        <v>1139160000</v>
      </c>
      <c r="AJA15" s="638">
        <v>1139160000</v>
      </c>
      <c r="AJB15" s="638">
        <v>623710000</v>
      </c>
      <c r="AJC15" s="638">
        <v>623710000</v>
      </c>
      <c r="AJD15" s="638">
        <v>69420000</v>
      </c>
      <c r="AJE15" s="638">
        <v>69200000</v>
      </c>
      <c r="AJF15" s="638">
        <v>4500000000</v>
      </c>
      <c r="AJG15" s="638">
        <v>4500000000</v>
      </c>
      <c r="AJH15" s="638">
        <v>350000000</v>
      </c>
      <c r="AJI15" s="638">
        <v>350000000</v>
      </c>
      <c r="AJJ15" s="638">
        <v>2899796742</v>
      </c>
      <c r="AJK15" s="638">
        <v>2999796545</v>
      </c>
      <c r="AJL15" s="638">
        <v>2543168328</v>
      </c>
      <c r="AJM15" s="638">
        <v>2546430112</v>
      </c>
      <c r="AJN15" s="638">
        <v>1684650000</v>
      </c>
      <c r="AJO15" s="638">
        <v>1684650000</v>
      </c>
    </row>
    <row r="16" spans="1:951" x14ac:dyDescent="0.25">
      <c r="A16" s="91" t="s">
        <v>20</v>
      </c>
      <c r="B16" s="96">
        <v>0</v>
      </c>
      <c r="C16" s="96">
        <v>786240.54200000002</v>
      </c>
      <c r="D16" s="96">
        <v>849740.71100000001</v>
      </c>
      <c r="E16" s="96"/>
      <c r="F16" s="96">
        <v>1262043</v>
      </c>
      <c r="G16" s="96">
        <v>432832</v>
      </c>
      <c r="H16" s="96">
        <v>628686</v>
      </c>
      <c r="I16" s="96">
        <v>628686.75699999998</v>
      </c>
      <c r="J16" s="96">
        <v>644954</v>
      </c>
      <c r="K16" s="96"/>
      <c r="L16" s="96">
        <v>231245.18799999999</v>
      </c>
      <c r="M16" s="96">
        <v>365093.18799999997</v>
      </c>
      <c r="N16" s="96">
        <v>365093.19</v>
      </c>
      <c r="O16" s="96">
        <v>346292</v>
      </c>
      <c r="P16" s="96">
        <v>1871438</v>
      </c>
      <c r="Q16" s="96">
        <v>0</v>
      </c>
      <c r="R16" s="96">
        <v>690431.78899999999</v>
      </c>
      <c r="S16" s="96">
        <v>696300</v>
      </c>
      <c r="T16" s="96">
        <v>703236</v>
      </c>
      <c r="U16" s="96">
        <v>703236</v>
      </c>
      <c r="V16" s="96">
        <v>0</v>
      </c>
      <c r="W16" s="96">
        <v>0</v>
      </c>
      <c r="X16" s="96">
        <v>48465</v>
      </c>
      <c r="Y16" s="96">
        <v>63596</v>
      </c>
      <c r="Z16" s="96">
        <v>66261</v>
      </c>
      <c r="AA16" s="96">
        <v>0</v>
      </c>
      <c r="AB16" s="96">
        <v>1044.731</v>
      </c>
      <c r="AC16" s="96">
        <v>2502.8910000000001</v>
      </c>
      <c r="AD16" s="96">
        <v>7330</v>
      </c>
      <c r="AE16" s="96">
        <v>11456</v>
      </c>
      <c r="AF16" s="96">
        <v>49819.71</v>
      </c>
      <c r="AG16" s="96">
        <v>999819.71</v>
      </c>
      <c r="AH16" s="96">
        <v>999819.71</v>
      </c>
      <c r="AI16" s="96">
        <v>986336</v>
      </c>
      <c r="AJ16" s="96">
        <v>986335</v>
      </c>
      <c r="AK16" s="96">
        <v>0</v>
      </c>
      <c r="AL16" s="96">
        <v>425192.7</v>
      </c>
      <c r="AM16" s="96">
        <v>444137.73100000003</v>
      </c>
      <c r="AN16" s="96">
        <v>444137</v>
      </c>
      <c r="AO16" s="96">
        <v>449955</v>
      </c>
      <c r="AP16" s="96">
        <v>0</v>
      </c>
      <c r="AQ16" s="96">
        <v>553747</v>
      </c>
      <c r="AR16" s="96">
        <v>553748</v>
      </c>
      <c r="AS16" s="96">
        <v>553748</v>
      </c>
      <c r="AT16" s="96">
        <v>558345</v>
      </c>
      <c r="AU16" s="96">
        <v>45211</v>
      </c>
      <c r="AV16" s="96">
        <v>45211</v>
      </c>
      <c r="AW16" s="96">
        <v>55211</v>
      </c>
      <c r="AX16" s="96">
        <v>65211</v>
      </c>
      <c r="AY16" s="96"/>
      <c r="AZ16" s="96">
        <v>430131.36300000001</v>
      </c>
      <c r="BA16" s="96">
        <v>430131.36300000001</v>
      </c>
      <c r="BB16" s="96">
        <v>430131.36300000001</v>
      </c>
      <c r="BC16" s="96">
        <v>127125</v>
      </c>
      <c r="BD16" s="96">
        <v>127124</v>
      </c>
      <c r="BE16" s="96">
        <v>0</v>
      </c>
      <c r="BF16" s="96">
        <v>419017.63199999998</v>
      </c>
      <c r="BG16" s="96">
        <v>420635.82300000003</v>
      </c>
      <c r="BH16" s="96">
        <v>424478</v>
      </c>
      <c r="BI16" s="96">
        <v>430801</v>
      </c>
      <c r="BJ16" s="96"/>
      <c r="BK16" s="96"/>
      <c r="BL16" s="96"/>
      <c r="BM16" s="96"/>
      <c r="BN16" s="96">
        <v>303701</v>
      </c>
      <c r="BO16" s="96"/>
      <c r="BP16" s="96"/>
      <c r="BQ16" s="96"/>
      <c r="BR16" s="96">
        <v>1847870</v>
      </c>
      <c r="BS16" s="96">
        <v>1605992</v>
      </c>
      <c r="BT16" s="96">
        <v>31289.812999999998</v>
      </c>
      <c r="BU16" s="96">
        <v>31289.812999999998</v>
      </c>
      <c r="BV16" s="96">
        <v>481289</v>
      </c>
      <c r="BW16" s="96">
        <v>481289</v>
      </c>
      <c r="BX16" s="96">
        <v>481289</v>
      </c>
      <c r="BY16" s="96">
        <v>0</v>
      </c>
      <c r="BZ16" s="96">
        <v>818382.11100000003</v>
      </c>
      <c r="CA16" s="96">
        <v>823681.15299999993</v>
      </c>
      <c r="CB16" s="96">
        <v>841485</v>
      </c>
      <c r="CC16" s="96">
        <v>316568</v>
      </c>
      <c r="CD16" s="96">
        <v>378845.2</v>
      </c>
      <c r="CE16" s="96">
        <v>378845.2</v>
      </c>
      <c r="CF16" s="96">
        <v>378845.2</v>
      </c>
      <c r="CG16" s="96">
        <v>378845</v>
      </c>
      <c r="CH16" s="96">
        <v>378845</v>
      </c>
      <c r="CI16" s="96">
        <v>0</v>
      </c>
      <c r="CJ16" s="96">
        <v>0</v>
      </c>
      <c r="CK16" s="96">
        <v>0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6">
        <v>0</v>
      </c>
      <c r="CR16" s="96"/>
      <c r="CS16" s="96">
        <v>0</v>
      </c>
      <c r="CT16" s="96">
        <v>552871</v>
      </c>
      <c r="CU16" s="96">
        <v>552870</v>
      </c>
      <c r="CV16" s="96">
        <v>552870</v>
      </c>
      <c r="CW16" s="96">
        <v>552871</v>
      </c>
      <c r="CX16" s="96">
        <v>0</v>
      </c>
      <c r="CY16" s="96">
        <v>198063.55900000001</v>
      </c>
      <c r="CZ16" s="96">
        <v>198063.55900000001</v>
      </c>
      <c r="DA16" s="96">
        <v>198063</v>
      </c>
      <c r="DB16" s="96">
        <v>198063</v>
      </c>
      <c r="DC16" s="96">
        <v>48227</v>
      </c>
      <c r="DD16" s="96">
        <v>48227</v>
      </c>
      <c r="DE16" s="96">
        <v>48884</v>
      </c>
      <c r="DF16" s="96">
        <v>49506</v>
      </c>
      <c r="DG16" s="96"/>
      <c r="DH16" s="96">
        <v>0</v>
      </c>
      <c r="DI16" s="96">
        <v>0</v>
      </c>
      <c r="DJ16" s="96"/>
      <c r="DK16" s="96"/>
      <c r="DL16" s="96"/>
      <c r="DM16" s="102">
        <v>1434867</v>
      </c>
      <c r="DN16" s="96">
        <v>2645709</v>
      </c>
      <c r="DO16" s="96">
        <v>6681500</v>
      </c>
      <c r="DP16" s="96">
        <v>7775773</v>
      </c>
      <c r="DQ16" s="96">
        <v>7811199</v>
      </c>
      <c r="DR16" s="96">
        <v>41313838.590999998</v>
      </c>
      <c r="DS16" s="96">
        <v>54332688.636</v>
      </c>
      <c r="DT16" s="96">
        <v>51170397.910999998</v>
      </c>
      <c r="DU16" s="96">
        <v>64391997</v>
      </c>
      <c r="DV16" s="96">
        <v>58961721</v>
      </c>
      <c r="DW16" s="96">
        <v>167513.698</v>
      </c>
      <c r="DX16" s="96">
        <v>168628.13</v>
      </c>
      <c r="DY16" s="96">
        <v>168628.13</v>
      </c>
      <c r="DZ16" s="96">
        <v>159178</v>
      </c>
      <c r="EA16" s="96">
        <v>163257</v>
      </c>
      <c r="EB16" s="96"/>
      <c r="EC16" s="96"/>
      <c r="ED16" s="96"/>
      <c r="EE16" s="96"/>
      <c r="EF16" s="96"/>
      <c r="EG16" s="96"/>
      <c r="EH16" s="96"/>
      <c r="EI16" s="96"/>
      <c r="EJ16" s="96">
        <v>1717312</v>
      </c>
      <c r="EK16" s="96">
        <v>3261393</v>
      </c>
      <c r="EL16" s="96"/>
      <c r="EM16" s="96"/>
      <c r="EN16" s="96"/>
      <c r="EO16" s="96"/>
      <c r="EP16" s="96"/>
      <c r="EQ16" s="96"/>
      <c r="ER16" s="96"/>
      <c r="ES16" s="96"/>
      <c r="ET16" s="96"/>
      <c r="EU16" s="96">
        <v>1058</v>
      </c>
      <c r="EV16" s="96">
        <v>1368975</v>
      </c>
      <c r="EW16" s="96">
        <v>1371483</v>
      </c>
      <c r="EX16" s="96">
        <v>1871438</v>
      </c>
      <c r="EY16" s="96">
        <v>1871437</v>
      </c>
      <c r="EZ16" s="96">
        <v>703236</v>
      </c>
      <c r="FA16" s="96">
        <v>703237</v>
      </c>
      <c r="FB16" s="96">
        <v>11456</v>
      </c>
      <c r="FC16" s="96">
        <v>15311</v>
      </c>
      <c r="FD16" s="96">
        <v>986335</v>
      </c>
      <c r="FE16" s="96">
        <v>986335</v>
      </c>
      <c r="FF16" s="96">
        <v>449955</v>
      </c>
      <c r="FG16" s="96">
        <v>453018</v>
      </c>
      <c r="FH16" s="96">
        <v>558345</v>
      </c>
      <c r="FI16" s="96"/>
      <c r="FJ16" s="96"/>
      <c r="FK16" s="96"/>
      <c r="FL16" s="96"/>
      <c r="FM16" s="96">
        <v>409125</v>
      </c>
      <c r="FN16" s="96">
        <v>1605992</v>
      </c>
      <c r="FO16" s="96">
        <v>1608443</v>
      </c>
      <c r="FP16" s="96">
        <v>430801</v>
      </c>
      <c r="FQ16" s="96">
        <v>438329</v>
      </c>
      <c r="FR16" s="96">
        <v>481289</v>
      </c>
      <c r="FS16" s="96"/>
      <c r="FT16" s="96">
        <v>127124</v>
      </c>
      <c r="FU16" s="96">
        <v>127126</v>
      </c>
      <c r="FV16" s="96">
        <v>316568</v>
      </c>
      <c r="FW16" s="96">
        <v>327750</v>
      </c>
      <c r="FX16" s="96"/>
      <c r="FY16" s="96"/>
      <c r="FZ16" s="96">
        <v>66261</v>
      </c>
      <c r="GA16" s="96">
        <v>286317</v>
      </c>
      <c r="GB16" s="96">
        <v>303701</v>
      </c>
      <c r="GC16" s="96">
        <v>303701</v>
      </c>
      <c r="GD16" s="96">
        <v>378845</v>
      </c>
      <c r="GE16" s="96">
        <v>378846</v>
      </c>
      <c r="GF16" s="96"/>
      <c r="GG16" s="96"/>
      <c r="GH16" s="96"/>
      <c r="GI16" s="96">
        <v>0</v>
      </c>
      <c r="GJ16" s="96">
        <v>0</v>
      </c>
      <c r="GK16" s="96">
        <v>17560</v>
      </c>
      <c r="GL16" s="96">
        <v>1864047</v>
      </c>
      <c r="GM16" s="96">
        <v>2009806</v>
      </c>
      <c r="GN16" s="96">
        <v>93475</v>
      </c>
      <c r="GO16" s="96">
        <v>93476</v>
      </c>
      <c r="GP16" s="96"/>
      <c r="GQ16" s="96"/>
      <c r="GR16" s="96"/>
      <c r="GS16" s="96"/>
      <c r="GT16" s="96">
        <v>113825</v>
      </c>
      <c r="GU16" s="96">
        <v>119585</v>
      </c>
      <c r="GV16" s="96"/>
      <c r="GW16" s="96"/>
      <c r="GX16" s="96">
        <v>1287972</v>
      </c>
      <c r="GY16" s="96">
        <v>1287973</v>
      </c>
      <c r="GZ16" s="96">
        <v>67085118</v>
      </c>
      <c r="HA16" s="96">
        <v>35829421</v>
      </c>
      <c r="HB16" s="96">
        <v>410941</v>
      </c>
      <c r="HC16" s="96">
        <v>410937</v>
      </c>
      <c r="HD16" s="96">
        <v>32</v>
      </c>
      <c r="HE16" s="96">
        <v>32</v>
      </c>
      <c r="HF16" s="96">
        <v>1562082</v>
      </c>
      <c r="HG16" s="96">
        <v>1254727</v>
      </c>
      <c r="HH16" s="96">
        <v>1162074</v>
      </c>
      <c r="HI16" s="96">
        <v>1162073</v>
      </c>
      <c r="HJ16" s="96">
        <v>1831613</v>
      </c>
      <c r="HK16" s="96">
        <v>1824103</v>
      </c>
      <c r="HL16" s="96">
        <v>65211</v>
      </c>
      <c r="HM16" s="96">
        <v>2577228</v>
      </c>
      <c r="HN16" s="96">
        <v>143236</v>
      </c>
      <c r="HO16" s="96">
        <v>149863</v>
      </c>
      <c r="HP16" s="96">
        <v>597058</v>
      </c>
      <c r="HQ16" s="96">
        <v>599786</v>
      </c>
      <c r="HR16" s="96">
        <v>1832655</v>
      </c>
      <c r="HS16" s="96">
        <v>1843007</v>
      </c>
      <c r="HT16" s="96">
        <v>3261393</v>
      </c>
      <c r="HU16" s="96"/>
      <c r="HV16" s="96"/>
      <c r="HW16" s="96"/>
      <c r="HX16" s="96">
        <v>743672</v>
      </c>
      <c r="HY16" s="96">
        <v>743672</v>
      </c>
      <c r="HZ16" s="96">
        <v>674243</v>
      </c>
      <c r="IA16" s="96">
        <v>674243</v>
      </c>
      <c r="IB16" s="96">
        <v>417964</v>
      </c>
      <c r="IC16" s="96">
        <v>417965</v>
      </c>
      <c r="ID16" s="96">
        <v>3738475</v>
      </c>
      <c r="IE16" s="96">
        <v>3329478</v>
      </c>
      <c r="IF16" s="96">
        <v>698598</v>
      </c>
      <c r="IG16" s="96">
        <v>766264</v>
      </c>
      <c r="IH16" s="96">
        <v>76023</v>
      </c>
      <c r="II16" s="96">
        <v>64115</v>
      </c>
      <c r="IJ16" s="96">
        <v>0</v>
      </c>
      <c r="IK16" s="96"/>
      <c r="IL16" s="96">
        <v>1058</v>
      </c>
      <c r="IM16" s="96">
        <v>1058</v>
      </c>
      <c r="IN16" s="96"/>
      <c r="IO16" s="96"/>
      <c r="IP16" s="96">
        <v>198063</v>
      </c>
      <c r="IQ16" s="96">
        <v>198063</v>
      </c>
      <c r="IR16" s="96"/>
      <c r="IS16" s="96"/>
      <c r="IT16" s="96"/>
      <c r="IU16" s="96">
        <v>2552</v>
      </c>
      <c r="IV16" s="96">
        <v>7811199</v>
      </c>
      <c r="IW16" s="96">
        <v>7978717</v>
      </c>
      <c r="IX16" s="96">
        <v>58961721</v>
      </c>
      <c r="IY16" s="96">
        <v>182932214</v>
      </c>
      <c r="IZ16" s="96">
        <v>163257</v>
      </c>
      <c r="JA16" s="96">
        <v>165933</v>
      </c>
      <c r="JB16" s="96">
        <v>1371483</v>
      </c>
      <c r="JC16" s="96">
        <v>929098</v>
      </c>
      <c r="JD16" s="96">
        <v>1871437</v>
      </c>
      <c r="JE16" s="96">
        <v>1889398</v>
      </c>
      <c r="JF16" s="96">
        <v>703237</v>
      </c>
      <c r="JG16" s="96">
        <v>703237</v>
      </c>
      <c r="JH16" s="96">
        <v>15311</v>
      </c>
      <c r="JI16" s="96">
        <v>18668</v>
      </c>
      <c r="JJ16" s="96">
        <v>986335</v>
      </c>
      <c r="JK16" s="96">
        <v>986336</v>
      </c>
      <c r="JL16" s="96">
        <v>453018</v>
      </c>
      <c r="JM16" s="96">
        <v>455772</v>
      </c>
      <c r="JN16" s="96">
        <v>573345</v>
      </c>
      <c r="JO16" s="96"/>
      <c r="JP16" s="96"/>
      <c r="JQ16" s="96"/>
      <c r="JR16" s="96">
        <v>409125</v>
      </c>
      <c r="JS16" s="96">
        <v>409125</v>
      </c>
      <c r="JT16" s="96">
        <v>1608443</v>
      </c>
      <c r="JU16" s="96">
        <v>1490894</v>
      </c>
      <c r="JV16" s="96">
        <v>438329</v>
      </c>
      <c r="JW16" s="96">
        <v>444951</v>
      </c>
      <c r="JX16" s="96"/>
      <c r="JY16" s="96"/>
      <c r="JZ16" s="96">
        <v>127126</v>
      </c>
      <c r="KA16" s="96">
        <v>127125</v>
      </c>
      <c r="KB16" s="96">
        <v>327750</v>
      </c>
      <c r="KC16" s="96">
        <v>326390</v>
      </c>
      <c r="KD16" s="96"/>
      <c r="KE16" s="96"/>
      <c r="KF16" s="96">
        <v>286317</v>
      </c>
      <c r="KG16" s="96">
        <v>512597</v>
      </c>
      <c r="KH16" s="96">
        <v>303701</v>
      </c>
      <c r="KI16" s="96"/>
      <c r="KJ16" s="96">
        <v>378846</v>
      </c>
      <c r="KK16" s="96">
        <v>378846</v>
      </c>
      <c r="KL16" s="96">
        <v>43085</v>
      </c>
      <c r="KM16" s="96">
        <v>43085</v>
      </c>
      <c r="KN16" s="96">
        <v>0</v>
      </c>
      <c r="KO16" s="96">
        <v>0</v>
      </c>
      <c r="KP16" s="96">
        <v>17560</v>
      </c>
      <c r="KQ16" s="96"/>
      <c r="KR16" s="96">
        <v>2009806</v>
      </c>
      <c r="KS16" s="96">
        <v>2909806</v>
      </c>
      <c r="KT16" s="96">
        <v>93476</v>
      </c>
      <c r="KU16" s="96">
        <v>93476</v>
      </c>
      <c r="KV16" s="96"/>
      <c r="KW16" s="96"/>
      <c r="KX16" s="96">
        <v>24290</v>
      </c>
      <c r="KY16" s="96"/>
      <c r="KZ16" s="96">
        <v>119585</v>
      </c>
      <c r="LA16" s="96">
        <v>120933</v>
      </c>
      <c r="LB16" s="96"/>
      <c r="LC16" s="96"/>
      <c r="LD16" s="96">
        <v>1287973</v>
      </c>
      <c r="LE16" s="96">
        <v>891778</v>
      </c>
      <c r="LF16" s="96">
        <v>35829421</v>
      </c>
      <c r="LG16" s="96">
        <v>51977357</v>
      </c>
      <c r="LH16" s="96">
        <v>410937</v>
      </c>
      <c r="LI16" s="96">
        <v>431295</v>
      </c>
      <c r="LJ16" s="96">
        <v>32</v>
      </c>
      <c r="LK16" s="96">
        <v>32</v>
      </c>
      <c r="LL16" s="96">
        <v>1254727</v>
      </c>
      <c r="LM16" s="96">
        <v>1312364</v>
      </c>
      <c r="LN16" s="96">
        <v>1162073</v>
      </c>
      <c r="LO16" s="96">
        <v>5000298</v>
      </c>
      <c r="LP16" s="96">
        <v>1824103</v>
      </c>
      <c r="LQ16" s="96">
        <v>1824103</v>
      </c>
      <c r="LR16" s="96">
        <v>2577228</v>
      </c>
      <c r="LS16" s="96">
        <v>5817000</v>
      </c>
      <c r="LT16" s="96">
        <v>149863</v>
      </c>
      <c r="LU16" s="96">
        <v>151402</v>
      </c>
      <c r="LV16" s="96">
        <v>599786</v>
      </c>
      <c r="LW16" s="96">
        <v>599786</v>
      </c>
      <c r="LX16" s="96">
        <v>1843007</v>
      </c>
      <c r="LY16" s="96">
        <v>1850296</v>
      </c>
      <c r="LZ16" s="96"/>
      <c r="MA16" s="96"/>
      <c r="MB16" s="96"/>
      <c r="MC16" s="96">
        <v>818595</v>
      </c>
      <c r="MD16" s="96">
        <v>743672</v>
      </c>
      <c r="ME16" s="96">
        <v>743672</v>
      </c>
      <c r="MF16" s="96">
        <v>674243</v>
      </c>
      <c r="MG16" s="96">
        <v>696739</v>
      </c>
      <c r="MH16" s="96">
        <v>417965</v>
      </c>
      <c r="MI16" s="96">
        <v>417965</v>
      </c>
      <c r="MJ16" s="96">
        <v>3329478</v>
      </c>
      <c r="MK16" s="96">
        <v>2017505</v>
      </c>
      <c r="ML16" s="96">
        <v>766264</v>
      </c>
      <c r="MM16" s="96">
        <v>816866</v>
      </c>
      <c r="MN16" s="96">
        <v>64115</v>
      </c>
      <c r="MO16" s="96">
        <v>21188</v>
      </c>
      <c r="MP16" s="96"/>
      <c r="MQ16" s="96">
        <v>8854935</v>
      </c>
      <c r="MR16" s="96">
        <v>1058</v>
      </c>
      <c r="MS16" s="96">
        <v>1059</v>
      </c>
      <c r="MT16" s="96">
        <v>139499</v>
      </c>
      <c r="MU16" s="96">
        <v>139499</v>
      </c>
      <c r="MV16" s="96">
        <v>198063</v>
      </c>
      <c r="MW16" s="96">
        <v>198063</v>
      </c>
      <c r="MX16" s="96"/>
      <c r="MY16" s="96">
        <v>11434</v>
      </c>
      <c r="MZ16" s="96">
        <v>2552</v>
      </c>
      <c r="NA16" s="96">
        <v>3024</v>
      </c>
      <c r="NB16" s="96">
        <v>7978717</v>
      </c>
      <c r="NC16" s="96">
        <v>7158015</v>
      </c>
      <c r="ND16" s="96">
        <v>182932214</v>
      </c>
      <c r="NE16" s="96">
        <v>233732012</v>
      </c>
      <c r="NF16" s="96">
        <v>165933</v>
      </c>
      <c r="NG16" s="96">
        <v>122217</v>
      </c>
      <c r="NH16" s="391">
        <v>929098</v>
      </c>
      <c r="NI16" s="391" t="e">
        <f>1650576-#REF!-#REF!-NI15</f>
        <v>#REF!</v>
      </c>
      <c r="NJ16" s="391">
        <f>275105+114293-1406123</f>
        <v>-1016725</v>
      </c>
      <c r="NK16" s="391">
        <f>275105+114293</f>
        <v>389398</v>
      </c>
      <c r="NL16" s="391">
        <v>703237</v>
      </c>
      <c r="NM16" s="391" t="e">
        <f>1954143-#REF!-#REF!-NM15</f>
        <v>#REF!</v>
      </c>
      <c r="NN16" s="391" t="e">
        <f>1288726-#REF!-#REF!-NN15</f>
        <v>#REF!</v>
      </c>
      <c r="NO16" s="391" t="e">
        <f>1316591-#REF!-#REF!-NO15</f>
        <v>#REF!</v>
      </c>
      <c r="NP16" s="391">
        <v>986336</v>
      </c>
      <c r="NQ16" s="391" t="e">
        <f>1386267-#REF!-#REF!-NQ15</f>
        <v>#REF!</v>
      </c>
      <c r="NR16" s="391">
        <v>455772</v>
      </c>
      <c r="NS16" s="391">
        <f>43859+414856</f>
        <v>458715</v>
      </c>
      <c r="NT16" s="391">
        <v>573345</v>
      </c>
      <c r="NU16" s="391"/>
      <c r="NV16" s="391"/>
      <c r="NW16" s="391"/>
      <c r="NX16" s="391">
        <v>409125</v>
      </c>
      <c r="NY16" s="391">
        <f>2245+406880</f>
        <v>409125</v>
      </c>
      <c r="NZ16" s="391">
        <f>7794+1483100</f>
        <v>1490894</v>
      </c>
      <c r="OA16" s="391">
        <f>10762+1483100</f>
        <v>1493862</v>
      </c>
      <c r="OB16" s="391">
        <v>444951</v>
      </c>
      <c r="OC16" s="391">
        <f>36252+408699</f>
        <v>444951</v>
      </c>
      <c r="OD16" s="391"/>
      <c r="OE16" s="391"/>
      <c r="OF16" s="391">
        <v>127125</v>
      </c>
      <c r="OG16" s="391">
        <f>-528000+9134+122531</f>
        <v>-396335</v>
      </c>
      <c r="OH16" s="391">
        <v>326390</v>
      </c>
      <c r="OI16" s="391">
        <f>143131+183259</f>
        <v>326390</v>
      </c>
      <c r="OJ16" s="391"/>
      <c r="OK16" s="391">
        <v>3</v>
      </c>
      <c r="OL16" s="391">
        <f>7779+257963+246855</f>
        <v>512597</v>
      </c>
      <c r="OM16" s="391">
        <f>13312+257962+15043</f>
        <v>286317</v>
      </c>
      <c r="ON16" s="391"/>
      <c r="OO16" s="391">
        <f>18000+249140+36561</f>
        <v>303701</v>
      </c>
      <c r="OP16" s="391">
        <v>378846</v>
      </c>
      <c r="OQ16" s="391">
        <f>8500+318809</f>
        <v>327309</v>
      </c>
      <c r="OR16" s="391">
        <v>43085</v>
      </c>
      <c r="OS16" s="391"/>
      <c r="OT16" s="391">
        <v>0</v>
      </c>
      <c r="OU16" s="391">
        <v>0</v>
      </c>
      <c r="OV16" s="391"/>
      <c r="OW16" s="391">
        <f>249000+212813</f>
        <v>461813</v>
      </c>
      <c r="OX16" s="391">
        <v>2909806</v>
      </c>
      <c r="OY16" s="391">
        <f>1060092+965173+1175650</f>
        <v>3200915</v>
      </c>
      <c r="OZ16" s="391">
        <v>93476</v>
      </c>
      <c r="PA16" s="391">
        <v>93476</v>
      </c>
      <c r="PB16" s="391"/>
      <c r="PC16" s="391"/>
      <c r="PD16" s="391"/>
      <c r="PE16" s="391"/>
      <c r="PF16" s="391">
        <v>120933</v>
      </c>
      <c r="PG16" s="391">
        <v>120933</v>
      </c>
      <c r="PH16" s="391"/>
      <c r="PI16" s="391"/>
      <c r="PJ16" s="391">
        <v>891778</v>
      </c>
      <c r="PK16" s="391">
        <f>342542+853+9307+2043201</f>
        <v>2395903</v>
      </c>
      <c r="PL16" s="391" t="e">
        <f>21640907-#REF!-#REF!-PL15</f>
        <v>#REF!</v>
      </c>
      <c r="PM16" s="391" t="e">
        <f>57964095-#REF!-#REF!-PM15</f>
        <v>#REF!</v>
      </c>
      <c r="PN16" s="391" t="e">
        <f>2213827-#REF!-#REF!-PN15</f>
        <v>#REF!</v>
      </c>
      <c r="PO16" s="391" t="e">
        <f>2039048-#REF!-#REF!-PO15</f>
        <v>#REF!</v>
      </c>
      <c r="PP16" s="391">
        <v>32</v>
      </c>
      <c r="PQ16" s="391">
        <v>-32</v>
      </c>
      <c r="PR16" s="391">
        <v>1312364</v>
      </c>
      <c r="PS16" s="391">
        <f>704539+215466+392359</f>
        <v>1312364</v>
      </c>
      <c r="PT16" s="391">
        <f>1162074+3382957-2442812</f>
        <v>2102219</v>
      </c>
      <c r="PU16" s="391">
        <f>1162074+3382957-2442812</f>
        <v>2102219</v>
      </c>
      <c r="PV16" s="391">
        <f>137190+1674293+12620</f>
        <v>1824103</v>
      </c>
      <c r="PW16" s="391">
        <f>137190+1674293+12620</f>
        <v>1824103</v>
      </c>
      <c r="PX16" s="391">
        <f>5752000+20000</f>
        <v>5772000</v>
      </c>
      <c r="PY16" s="391">
        <f>8822000+20000</f>
        <v>8842000</v>
      </c>
      <c r="PZ16" s="391">
        <v>151402</v>
      </c>
      <c r="QA16" s="391">
        <f>73701+81362</f>
        <v>155063</v>
      </c>
      <c r="QB16" s="391">
        <v>599786</v>
      </c>
      <c r="QC16" s="391">
        <f>42814+49165+507931</f>
        <v>599910</v>
      </c>
      <c r="QD16" s="391">
        <v>1850296</v>
      </c>
      <c r="QE16" s="391">
        <f>90316+139144+2681625</f>
        <v>2911085</v>
      </c>
      <c r="QF16" s="391"/>
      <c r="QG16" s="391"/>
      <c r="QH16" s="391">
        <v>818595</v>
      </c>
      <c r="QI16" s="391"/>
      <c r="QJ16" s="391">
        <v>743672</v>
      </c>
      <c r="QK16" s="391">
        <f>258085+296673+926817</f>
        <v>1481575</v>
      </c>
      <c r="QL16" s="391">
        <v>696739</v>
      </c>
      <c r="QM16" s="391">
        <f>183440+524243</f>
        <v>707683</v>
      </c>
      <c r="QN16" s="391">
        <f>76068+341897</f>
        <v>417965</v>
      </c>
      <c r="QO16" s="391">
        <f>76068+341897</f>
        <v>417965</v>
      </c>
      <c r="QP16" s="391">
        <v>2017505</v>
      </c>
      <c r="QQ16" s="391">
        <f>478808+164175+904088</f>
        <v>1547071</v>
      </c>
      <c r="QR16" s="391">
        <v>816866</v>
      </c>
      <c r="QS16" s="391">
        <f>539697+314114</f>
        <v>853811</v>
      </c>
      <c r="QT16" s="391">
        <v>21188</v>
      </c>
      <c r="QU16" s="391">
        <v>21188</v>
      </c>
      <c r="QV16" s="391"/>
      <c r="QW16" s="391">
        <v>8854935</v>
      </c>
      <c r="QX16" s="391">
        <v>1059</v>
      </c>
      <c r="QY16" s="391">
        <f>1058+11673</f>
        <v>12731</v>
      </c>
      <c r="QZ16" s="391">
        <f>26361+113138</f>
        <v>139499</v>
      </c>
      <c r="RA16" s="391">
        <f>26361+113138</f>
        <v>139499</v>
      </c>
      <c r="RB16" s="391">
        <v>198063</v>
      </c>
      <c r="RC16" s="391">
        <f>565+197498</f>
        <v>198063</v>
      </c>
      <c r="RD16" s="391"/>
      <c r="RE16" s="391">
        <v>11434</v>
      </c>
      <c r="RF16" s="391">
        <v>3024</v>
      </c>
      <c r="RG16" s="391"/>
      <c r="RH16" s="391">
        <f>851686+1194005+5933026</f>
        <v>7978717</v>
      </c>
      <c r="RI16" s="391">
        <f>30984+1194006+5933025</f>
        <v>7158015</v>
      </c>
      <c r="RJ16" s="391">
        <f>123181509+7597538+438906+978138</f>
        <v>132196091</v>
      </c>
      <c r="RK16" s="391">
        <f>121701830+7597539+229648+209259</f>
        <v>129738276</v>
      </c>
      <c r="RL16" s="391">
        <v>122217</v>
      </c>
      <c r="RM16" s="391">
        <f>110038+19746</f>
        <v>129784</v>
      </c>
      <c r="RN16" s="96">
        <v>778285</v>
      </c>
      <c r="RO16" s="96">
        <v>778285</v>
      </c>
      <c r="RP16" s="96">
        <v>389399</v>
      </c>
      <c r="RQ16" s="96">
        <v>389398</v>
      </c>
      <c r="RR16" s="96">
        <v>703236</v>
      </c>
      <c r="RS16" s="96">
        <v>703236</v>
      </c>
      <c r="RT16" s="96">
        <v>21819</v>
      </c>
      <c r="RU16" s="96">
        <v>22994</v>
      </c>
      <c r="RV16" s="96">
        <v>983566</v>
      </c>
      <c r="RW16" s="96">
        <v>981490</v>
      </c>
      <c r="RX16" s="96">
        <v>458716</v>
      </c>
      <c r="RY16" s="96">
        <v>462010</v>
      </c>
      <c r="RZ16" s="96"/>
      <c r="SA16" s="96"/>
      <c r="SB16" s="96"/>
      <c r="SC16" s="96"/>
      <c r="SD16" s="96">
        <v>409125</v>
      </c>
      <c r="SE16" s="96">
        <v>81346</v>
      </c>
      <c r="SF16" s="96">
        <v>1493862</v>
      </c>
      <c r="SG16" s="96">
        <v>1495766</v>
      </c>
      <c r="SH16" s="96">
        <v>444951</v>
      </c>
      <c r="SI16" s="96">
        <v>453330</v>
      </c>
      <c r="SJ16" s="96"/>
      <c r="SK16" s="96"/>
      <c r="SL16" s="96">
        <v>-396335</v>
      </c>
      <c r="SM16" s="96">
        <v>-391281</v>
      </c>
      <c r="SN16" s="96">
        <v>326390</v>
      </c>
      <c r="SO16" s="96">
        <v>100683</v>
      </c>
      <c r="SP16" s="96">
        <v>3</v>
      </c>
      <c r="SQ16" s="96"/>
      <c r="SR16" s="96">
        <v>13312</v>
      </c>
      <c r="SS16" s="96">
        <v>13312</v>
      </c>
      <c r="ST16" s="96">
        <v>303701</v>
      </c>
      <c r="SU16" s="96"/>
      <c r="SV16" s="96">
        <v>8500</v>
      </c>
      <c r="SW16" s="96">
        <v>8500</v>
      </c>
      <c r="SX16" s="96"/>
      <c r="SY16" s="96"/>
      <c r="SZ16" s="96">
        <v>-58684</v>
      </c>
      <c r="TA16" s="96">
        <v>-58684</v>
      </c>
      <c r="TB16" s="96">
        <v>461813</v>
      </c>
      <c r="TC16" s="96"/>
      <c r="TD16" s="96">
        <v>2025265</v>
      </c>
      <c r="TE16" s="96">
        <v>2025266</v>
      </c>
      <c r="TF16" s="96">
        <v>91476</v>
      </c>
      <c r="TG16" s="96">
        <v>91476</v>
      </c>
      <c r="TH16" s="96"/>
      <c r="TI16" s="96"/>
      <c r="TJ16" s="96"/>
      <c r="TK16" s="96"/>
      <c r="TL16" s="96">
        <v>-541521</v>
      </c>
      <c r="TM16" s="96">
        <v>-541521</v>
      </c>
      <c r="TN16" s="96"/>
      <c r="TO16" s="96"/>
      <c r="TP16" s="96">
        <v>351847</v>
      </c>
      <c r="TQ16" s="96">
        <v>359979</v>
      </c>
      <c r="TR16" s="96">
        <v>51894852</v>
      </c>
      <c r="TS16" s="96">
        <v>49985158</v>
      </c>
      <c r="TT16" s="96">
        <v>410941</v>
      </c>
      <c r="TU16" s="96">
        <v>410941</v>
      </c>
      <c r="TV16" s="96">
        <v>-248535000</v>
      </c>
      <c r="TW16" s="96">
        <v>-30489000</v>
      </c>
      <c r="TX16" s="96">
        <v>1312364</v>
      </c>
      <c r="TY16" s="96">
        <v>884243</v>
      </c>
      <c r="TZ16" s="96">
        <v>2102219</v>
      </c>
      <c r="UA16" s="96">
        <v>2102219</v>
      </c>
      <c r="UB16" s="96">
        <v>1824103</v>
      </c>
      <c r="UC16" s="96"/>
      <c r="UD16" s="96">
        <v>8842000</v>
      </c>
      <c r="UE16" s="96">
        <v>13342000</v>
      </c>
      <c r="UF16" s="96">
        <v>155063</v>
      </c>
      <c r="UG16" s="96">
        <v>936227</v>
      </c>
      <c r="UH16" s="96">
        <v>934246</v>
      </c>
      <c r="UI16" s="96">
        <v>934247</v>
      </c>
      <c r="UJ16" s="96">
        <v>90316</v>
      </c>
      <c r="UK16" s="96">
        <v>108937</v>
      </c>
      <c r="UL16" s="96"/>
      <c r="UM16" s="96"/>
      <c r="UN16" s="96"/>
      <c r="UO16" s="96">
        <v>-246906</v>
      </c>
      <c r="UP16" s="96">
        <v>464448</v>
      </c>
      <c r="UQ16" s="96">
        <v>479291</v>
      </c>
      <c r="UR16" s="96">
        <v>707684</v>
      </c>
      <c r="US16" s="96">
        <v>707684</v>
      </c>
      <c r="UT16" s="96">
        <v>417965</v>
      </c>
      <c r="UU16" s="96"/>
      <c r="UV16" s="96">
        <v>1547071</v>
      </c>
      <c r="UW16" s="96">
        <v>1214016</v>
      </c>
      <c r="UX16" s="96">
        <v>84060</v>
      </c>
      <c r="UY16" s="96">
        <v>84060</v>
      </c>
      <c r="UZ16" s="96">
        <v>21188</v>
      </c>
      <c r="VA16" s="96">
        <v>21188</v>
      </c>
      <c r="VB16" s="96">
        <v>8888296</v>
      </c>
      <c r="VC16" s="96">
        <v>10386832</v>
      </c>
      <c r="VD16" s="96">
        <v>302869</v>
      </c>
      <c r="VE16" s="96">
        <v>599210</v>
      </c>
      <c r="VF16" s="96">
        <v>139499</v>
      </c>
      <c r="VG16" s="96"/>
      <c r="VH16" s="96">
        <v>198063</v>
      </c>
      <c r="VI16" s="96">
        <v>198063</v>
      </c>
      <c r="VJ16" s="96"/>
      <c r="VK16" s="96"/>
      <c r="VL16" s="96"/>
      <c r="VM16" s="96">
        <v>65551</v>
      </c>
      <c r="VN16" s="96">
        <v>7158015</v>
      </c>
      <c r="VO16" s="96"/>
      <c r="VP16" s="96">
        <v>129738276</v>
      </c>
      <c r="VQ16" s="96">
        <v>122628574</v>
      </c>
      <c r="VR16" s="96">
        <v>129784</v>
      </c>
      <c r="VS16" s="96">
        <v>108504</v>
      </c>
      <c r="VT16" s="96">
        <v>778285</v>
      </c>
      <c r="VU16" s="96"/>
      <c r="VV16" s="96">
        <v>389398</v>
      </c>
      <c r="VW16" s="96">
        <v>389398</v>
      </c>
      <c r="VX16" s="96">
        <v>703236</v>
      </c>
      <c r="VY16" s="96">
        <v>704557</v>
      </c>
      <c r="VZ16" s="96">
        <v>22994</v>
      </c>
      <c r="WA16" s="96">
        <v>29782</v>
      </c>
      <c r="WB16" s="96">
        <v>981490</v>
      </c>
      <c r="WC16" s="96">
        <v>950000</v>
      </c>
      <c r="WD16" s="96">
        <v>462010</v>
      </c>
      <c r="WE16" s="96">
        <v>465932</v>
      </c>
      <c r="WF16" s="96"/>
      <c r="WG16" s="96"/>
      <c r="WH16" s="96"/>
      <c r="WI16" s="96"/>
      <c r="WJ16" s="96">
        <v>81346</v>
      </c>
      <c r="WK16" s="96">
        <v>81445</v>
      </c>
      <c r="WL16" s="96">
        <v>12666</v>
      </c>
      <c r="WM16" s="96">
        <v>17884</v>
      </c>
      <c r="WN16" s="96">
        <v>453330</v>
      </c>
      <c r="WO16" s="96">
        <v>465295</v>
      </c>
      <c r="WP16" s="96"/>
      <c r="WQ16" s="96"/>
      <c r="WR16" s="96">
        <v>140862</v>
      </c>
      <c r="WS16" s="96">
        <v>151265</v>
      </c>
      <c r="WT16" s="96">
        <v>100683</v>
      </c>
      <c r="WU16" s="96">
        <v>143150</v>
      </c>
      <c r="WV16" s="96"/>
      <c r="WW16" s="96"/>
      <c r="WX16" s="96">
        <v>13312</v>
      </c>
      <c r="WY16" s="96">
        <v>286318</v>
      </c>
      <c r="WZ16" s="96"/>
      <c r="XA16" s="96">
        <v>303701</v>
      </c>
      <c r="XB16" s="96">
        <v>8500</v>
      </c>
      <c r="XC16" s="96">
        <v>8500</v>
      </c>
      <c r="XD16" s="96">
        <v>3345</v>
      </c>
      <c r="XE16" s="96">
        <v>9461</v>
      </c>
      <c r="XF16" s="96">
        <v>-58684</v>
      </c>
      <c r="XG16" s="96">
        <v>182941</v>
      </c>
      <c r="XH16" s="96">
        <v>249000</v>
      </c>
      <c r="XI16" s="96">
        <v>249000</v>
      </c>
      <c r="XJ16" s="96">
        <v>2025266</v>
      </c>
      <c r="XK16" s="96">
        <v>2293155</v>
      </c>
      <c r="XL16" s="96">
        <v>91476</v>
      </c>
      <c r="XM16" s="96">
        <v>91476</v>
      </c>
      <c r="XN16" s="96">
        <v>126836</v>
      </c>
      <c r="XO16" s="96">
        <v>126836</v>
      </c>
      <c r="XP16" s="96"/>
      <c r="XQ16" s="96"/>
      <c r="XR16" s="96">
        <v>-541521</v>
      </c>
      <c r="XS16" s="96">
        <v>-541520</v>
      </c>
      <c r="XT16" s="96"/>
      <c r="XU16" s="96"/>
      <c r="XV16" s="96">
        <v>1654013</v>
      </c>
      <c r="XW16" s="96">
        <v>1661027</v>
      </c>
      <c r="XX16" s="96">
        <v>49985158</v>
      </c>
      <c r="XY16" s="96">
        <v>49850508</v>
      </c>
      <c r="XZ16" s="96">
        <v>410941</v>
      </c>
      <c r="YA16" s="96">
        <v>410942</v>
      </c>
      <c r="YB16" s="96">
        <v>-30489</v>
      </c>
      <c r="YC16" s="96">
        <v>-163318</v>
      </c>
      <c r="YD16" s="96">
        <v>704540</v>
      </c>
      <c r="YE16" s="96">
        <v>712370</v>
      </c>
      <c r="YF16" s="96">
        <v>2102219</v>
      </c>
      <c r="YG16" s="96">
        <v>2102220</v>
      </c>
      <c r="YH16" s="96"/>
      <c r="YI16" s="96"/>
      <c r="YJ16" s="96">
        <v>13342000</v>
      </c>
      <c r="YK16" s="96"/>
      <c r="YL16" s="96">
        <v>640702540</v>
      </c>
      <c r="YM16" s="96">
        <v>536670259</v>
      </c>
      <c r="YN16" s="96">
        <v>934247</v>
      </c>
      <c r="YO16" s="96">
        <v>934248</v>
      </c>
      <c r="YP16" s="96">
        <v>108937</v>
      </c>
      <c r="YQ16" s="96">
        <v>186855</v>
      </c>
      <c r="YR16" s="96"/>
      <c r="YS16" s="96"/>
      <c r="YT16" s="96">
        <v>-246906</v>
      </c>
      <c r="YU16" s="96"/>
      <c r="YV16" s="96">
        <v>479291</v>
      </c>
      <c r="YW16" s="96">
        <v>464448</v>
      </c>
      <c r="YX16" s="96">
        <v>707684</v>
      </c>
      <c r="YY16" s="96">
        <v>183440</v>
      </c>
      <c r="YZ16" s="96">
        <v>379909</v>
      </c>
      <c r="ZA16" s="96">
        <v>379910</v>
      </c>
      <c r="ZB16" s="96">
        <v>1214016</v>
      </c>
      <c r="ZC16" s="96">
        <v>478808</v>
      </c>
      <c r="ZD16" s="96">
        <v>84060</v>
      </c>
      <c r="ZE16" s="96">
        <v>84060</v>
      </c>
      <c r="ZF16" s="96">
        <v>21188</v>
      </c>
      <c r="ZG16" s="96">
        <v>21188</v>
      </c>
      <c r="ZH16" s="96">
        <v>10386832</v>
      </c>
      <c r="ZI16" s="96">
        <v>10386831</v>
      </c>
      <c r="ZJ16" s="96">
        <v>599210</v>
      </c>
      <c r="ZK16" s="96">
        <v>1487796</v>
      </c>
      <c r="ZL16" s="96"/>
      <c r="ZM16" s="96"/>
      <c r="ZN16" s="96">
        <v>198063</v>
      </c>
      <c r="ZO16" s="96">
        <v>212500</v>
      </c>
      <c r="ZP16" s="96"/>
      <c r="ZQ16" s="96"/>
      <c r="ZR16" s="96">
        <v>65551</v>
      </c>
      <c r="ZS16" s="96">
        <v>65552</v>
      </c>
      <c r="ZT16" s="96"/>
      <c r="ZU16" s="96"/>
      <c r="ZV16" s="96">
        <v>122628574</v>
      </c>
      <c r="ZW16" s="96">
        <v>86618728</v>
      </c>
      <c r="ZX16" s="96">
        <v>110664</v>
      </c>
      <c r="ZY16" s="96">
        <v>110664</v>
      </c>
      <c r="ZZ16" s="605"/>
      <c r="AAA16" s="605"/>
      <c r="AAB16" s="605"/>
      <c r="AAC16" s="605"/>
      <c r="AAD16" s="605"/>
      <c r="AAE16" s="605"/>
      <c r="AAF16" s="605"/>
      <c r="AAG16" s="605"/>
      <c r="AAH16" s="605"/>
      <c r="AAI16" s="605"/>
      <c r="AAJ16" s="605"/>
      <c r="AAK16" s="605"/>
      <c r="AAL16" s="605"/>
      <c r="AAM16" s="605"/>
      <c r="AAN16" s="605"/>
      <c r="AAO16" s="605"/>
      <c r="AAP16" s="605"/>
      <c r="AAQ16" s="605"/>
      <c r="AAR16" s="605"/>
      <c r="AAS16" s="605"/>
      <c r="AAT16" s="605"/>
      <c r="AAU16" s="605"/>
      <c r="AAV16" s="605"/>
      <c r="AAW16" s="605"/>
      <c r="AAX16" s="605"/>
      <c r="AAY16" s="605"/>
      <c r="AAZ16" s="605"/>
      <c r="ABA16" s="605"/>
      <c r="ABB16" s="605"/>
      <c r="ABC16" s="605"/>
      <c r="ABD16" s="605"/>
      <c r="ABE16" s="605"/>
      <c r="ABF16" s="605"/>
      <c r="ABG16" s="605"/>
      <c r="ABH16" s="605"/>
      <c r="ABI16" s="605"/>
      <c r="ABJ16" s="605"/>
      <c r="ABK16" s="605"/>
      <c r="ABL16" s="605"/>
      <c r="ABM16" s="605"/>
      <c r="ABN16" s="605"/>
      <c r="ABO16" s="605"/>
      <c r="ABP16" s="605"/>
      <c r="ABQ16" s="605"/>
      <c r="ABR16" s="605"/>
      <c r="ABS16" s="605"/>
      <c r="ABT16" s="605"/>
      <c r="ABU16" s="605"/>
      <c r="ABV16" s="605"/>
      <c r="ABW16" s="605"/>
      <c r="ABX16" s="605"/>
      <c r="ABY16" s="605"/>
      <c r="ABZ16" s="605"/>
      <c r="ACA16" s="605"/>
      <c r="ACB16" s="605"/>
      <c r="ACC16" s="605"/>
      <c r="ACD16" s="605"/>
      <c r="ACE16" s="605"/>
      <c r="ACF16" s="605"/>
      <c r="ACG16" s="605"/>
      <c r="ACH16" s="605"/>
      <c r="ACI16" s="605"/>
      <c r="ACJ16" s="605"/>
      <c r="ACK16" s="605"/>
      <c r="ACL16" s="605"/>
      <c r="ACM16" s="605"/>
      <c r="ACN16" s="605"/>
      <c r="ACO16" s="605"/>
      <c r="ACP16" s="605"/>
      <c r="ACQ16" s="605"/>
      <c r="ACR16" s="605"/>
      <c r="ACS16" s="605"/>
      <c r="ACT16" s="605"/>
      <c r="ACU16" s="605"/>
      <c r="ACV16" s="605"/>
      <c r="ACW16" s="605"/>
      <c r="ACX16" s="605"/>
      <c r="ACY16" s="605"/>
      <c r="ACZ16" s="770">
        <v>226608</v>
      </c>
      <c r="ADA16" s="770">
        <v>-29061</v>
      </c>
      <c r="ADB16" s="770">
        <v>695393</v>
      </c>
      <c r="ADC16" s="770">
        <v>702625</v>
      </c>
      <c r="ADD16" s="770">
        <v>835073947</v>
      </c>
      <c r="ADE16" s="770">
        <v>586178132</v>
      </c>
      <c r="ADF16" s="770">
        <v>1671559568</v>
      </c>
      <c r="ADG16" s="770">
        <v>1688116929</v>
      </c>
      <c r="ADH16" s="770">
        <v>-87432924</v>
      </c>
      <c r="ADI16" s="770">
        <v>-87432924</v>
      </c>
      <c r="ADJ16" s="770">
        <v>485736000</v>
      </c>
      <c r="ADK16" s="770">
        <v>517100000</v>
      </c>
      <c r="ADL16" s="770">
        <v>0</v>
      </c>
      <c r="ADM16" s="770">
        <v>0</v>
      </c>
      <c r="ADN16" s="770">
        <v>90091681</v>
      </c>
      <c r="ADO16" s="770">
        <v>126316184</v>
      </c>
      <c r="ADP16" s="770">
        <v>1874468679</v>
      </c>
      <c r="ADQ16" s="770">
        <v>1902799076</v>
      </c>
      <c r="ADR16" s="770">
        <v>0</v>
      </c>
      <c r="ADS16" s="770">
        <v>0</v>
      </c>
      <c r="ADT16" s="770">
        <v>312247000</v>
      </c>
      <c r="ADU16" s="770">
        <v>428966850</v>
      </c>
      <c r="ADV16" s="770">
        <v>1456766503</v>
      </c>
      <c r="ADW16" s="770">
        <v>1471361828</v>
      </c>
      <c r="ADX16" s="770">
        <v>91308113</v>
      </c>
      <c r="ADY16" s="770">
        <v>134292000</v>
      </c>
      <c r="ADZ16" s="770">
        <v>2666585652.5799999</v>
      </c>
      <c r="AEA16" s="770">
        <v>2854725328.1099997</v>
      </c>
      <c r="AEB16" s="770">
        <v>3273703873</v>
      </c>
      <c r="AEC16" s="770">
        <v>4384449197</v>
      </c>
      <c r="AED16" s="770">
        <v>-144777021</v>
      </c>
      <c r="AEE16" s="770">
        <v>-95388366</v>
      </c>
      <c r="AEF16" s="770">
        <v>75152313</v>
      </c>
      <c r="AEG16" s="770">
        <v>4674354340</v>
      </c>
      <c r="AEH16" s="770">
        <v>31046979</v>
      </c>
      <c r="AEI16" s="770">
        <v>36500134</v>
      </c>
      <c r="AEJ16" s="770">
        <v>3839931041</v>
      </c>
      <c r="AEK16" s="770">
        <v>4706693651</v>
      </c>
      <c r="AEL16" s="770">
        <v>-463548936</v>
      </c>
      <c r="AEM16" s="770">
        <v>-167589056</v>
      </c>
      <c r="AEN16" s="770">
        <v>5614404</v>
      </c>
      <c r="AEO16" s="770">
        <v>6012627</v>
      </c>
      <c r="AEP16" s="770">
        <v>75485018441</v>
      </c>
      <c r="AEQ16" s="770">
        <v>88465116554</v>
      </c>
      <c r="AER16" s="770">
        <v>0</v>
      </c>
      <c r="AES16" s="770">
        <v>0</v>
      </c>
      <c r="AET16" s="770">
        <v>0</v>
      </c>
      <c r="AEU16" s="770">
        <v>0</v>
      </c>
      <c r="AEV16" s="770">
        <v>-4020000</v>
      </c>
      <c r="AEW16" s="770">
        <v>-1627000</v>
      </c>
      <c r="AEX16" s="770">
        <v>1558207945.46</v>
      </c>
      <c r="AEY16" s="770">
        <v>1672344759.77</v>
      </c>
      <c r="AEZ16" s="770">
        <v>0</v>
      </c>
      <c r="AFA16" s="770">
        <v>0</v>
      </c>
      <c r="AFB16" s="770">
        <v>7699036770</v>
      </c>
      <c r="AFC16" s="770">
        <v>7823076184</v>
      </c>
      <c r="AFD16" s="770">
        <v>132769662</v>
      </c>
      <c r="AFE16" s="770">
        <v>257511612</v>
      </c>
      <c r="AFF16" s="770">
        <v>-204965855</v>
      </c>
      <c r="AFG16" s="770">
        <v>-93678707</v>
      </c>
      <c r="AFH16" s="770">
        <v>-366029518</v>
      </c>
      <c r="AFI16" s="770">
        <v>31417559</v>
      </c>
      <c r="AFJ16" s="770">
        <v>7786011254</v>
      </c>
      <c r="AFK16" s="770">
        <v>9592054092</v>
      </c>
      <c r="AFL16" s="770">
        <v>393362</v>
      </c>
      <c r="AFM16" s="770">
        <v>417809</v>
      </c>
      <c r="AFN16" s="770">
        <v>-2583150</v>
      </c>
      <c r="AFO16" s="770">
        <v>-10357969</v>
      </c>
      <c r="AFP16" s="770">
        <v>6210008731</v>
      </c>
      <c r="AFQ16" s="770">
        <v>1880757549</v>
      </c>
      <c r="AFR16" s="770">
        <v>25014207</v>
      </c>
      <c r="AFS16" s="770">
        <v>29477161</v>
      </c>
      <c r="AFT16" s="770">
        <v>5430381000</v>
      </c>
      <c r="AFU16" s="770">
        <v>5065978763</v>
      </c>
      <c r="AFV16" s="770">
        <v>188990000</v>
      </c>
      <c r="AFW16" s="770">
        <v>217300626</v>
      </c>
      <c r="AFX16" s="770">
        <v>0</v>
      </c>
      <c r="AFY16" s="770">
        <v>0</v>
      </c>
      <c r="AFZ16" s="637">
        <v>257511612</v>
      </c>
      <c r="AGA16" s="637">
        <v>285908673</v>
      </c>
      <c r="AGB16" s="637">
        <v>7823076185</v>
      </c>
      <c r="AGC16" s="637">
        <v>6650584043</v>
      </c>
      <c r="AGD16" s="637">
        <v>4706693652</v>
      </c>
      <c r="AGE16" s="637">
        <v>5488509070</v>
      </c>
      <c r="AGF16" s="637">
        <v>864357487</v>
      </c>
      <c r="AGG16" s="637">
        <v>915898220</v>
      </c>
      <c r="AGH16" s="637">
        <v>1688116928</v>
      </c>
      <c r="AGI16" s="637">
        <v>1712878146</v>
      </c>
      <c r="AGJ16" s="637">
        <v>1309761</v>
      </c>
      <c r="AGK16" s="637">
        <v>3542941</v>
      </c>
      <c r="AGL16" s="637">
        <v>4384449197</v>
      </c>
      <c r="AGM16" s="637">
        <v>4863584976</v>
      </c>
      <c r="AGN16" s="637">
        <v>88465116554</v>
      </c>
      <c r="AGO16" s="637">
        <v>101880648280</v>
      </c>
      <c r="AGP16" s="637">
        <v>864357487</v>
      </c>
      <c r="AGQ16" s="637">
        <v>915898220</v>
      </c>
      <c r="AGR16" s="637">
        <v>6212296937</v>
      </c>
      <c r="AGS16" s="637">
        <v>6361176660</v>
      </c>
      <c r="AGT16" s="637">
        <v>417809000</v>
      </c>
      <c r="AGU16" s="637">
        <v>514018000</v>
      </c>
      <c r="AGV16" s="637">
        <v>8021519504</v>
      </c>
      <c r="AGW16" s="637">
        <v>8972100420</v>
      </c>
      <c r="AGX16" s="771" t="s">
        <v>224</v>
      </c>
      <c r="AGY16" s="771" t="s">
        <v>224</v>
      </c>
      <c r="AGZ16" s="637">
        <v>6948336068</v>
      </c>
      <c r="AHA16" s="637">
        <v>6159458445</v>
      </c>
      <c r="AHB16" s="637">
        <v>-34065320</v>
      </c>
      <c r="AHC16" s="637">
        <v>-29907694</v>
      </c>
      <c r="AHD16" s="637">
        <v>-183362598</v>
      </c>
      <c r="AHE16" s="637">
        <v>307166122</v>
      </c>
      <c r="AHF16" s="637">
        <v>35940599000</v>
      </c>
      <c r="AHG16" s="637">
        <v>36030791000</v>
      </c>
      <c r="AHH16" s="637">
        <v>4506873844</v>
      </c>
      <c r="AHI16" s="637">
        <v>5814677146</v>
      </c>
      <c r="AHJ16" s="637">
        <v>134068000</v>
      </c>
      <c r="AHK16" s="637">
        <v>186316000</v>
      </c>
      <c r="AHL16" s="637">
        <v>-42753000</v>
      </c>
      <c r="AHM16" s="637">
        <v>-1204689000</v>
      </c>
      <c r="AHN16" s="637">
        <v>31417559</v>
      </c>
      <c r="AHO16" s="637">
        <v>-3381334159</v>
      </c>
      <c r="AHP16" s="637">
        <v>702626264</v>
      </c>
      <c r="AHQ16" s="637">
        <v>-282086557</v>
      </c>
      <c r="AHR16" s="637">
        <v>428967000</v>
      </c>
      <c r="AHS16" s="637">
        <v>610065532</v>
      </c>
      <c r="AHT16" s="637">
        <v>1471361828</v>
      </c>
      <c r="AHU16" s="637">
        <v>1607345034</v>
      </c>
      <c r="AHV16" s="637">
        <v>517100000</v>
      </c>
      <c r="AHW16" s="637">
        <v>543409000</v>
      </c>
      <c r="AHX16" s="637">
        <v>586178132</v>
      </c>
      <c r="AHY16" s="637">
        <v>756739447</v>
      </c>
      <c r="AHZ16" s="637">
        <v>-93678705</v>
      </c>
      <c r="AIA16" s="637">
        <v>1091633596</v>
      </c>
      <c r="AIB16" s="637">
        <v>-6228030065</v>
      </c>
      <c r="AIC16" s="637">
        <v>-6751329175</v>
      </c>
      <c r="AID16" s="637">
        <v>-1627000000</v>
      </c>
      <c r="AIE16" s="637">
        <v>-2202000000</v>
      </c>
      <c r="AIF16" s="637">
        <v>717366000</v>
      </c>
      <c r="AIG16" s="637">
        <v>696186000</v>
      </c>
      <c r="AIH16" s="771" t="s">
        <v>224</v>
      </c>
      <c r="AII16" s="637">
        <v>251996973</v>
      </c>
      <c r="AIJ16" s="637">
        <v>-53453311</v>
      </c>
      <c r="AIK16" s="637">
        <v>235285923</v>
      </c>
      <c r="AIL16" s="637">
        <v>2112793988</v>
      </c>
      <c r="AIM16" s="637">
        <v>2672365207</v>
      </c>
      <c r="AIN16" s="771" t="s">
        <v>224</v>
      </c>
      <c r="AIO16" s="637">
        <v>-30514</v>
      </c>
      <c r="AIP16" s="771" t="s">
        <v>224</v>
      </c>
      <c r="AIQ16" s="637">
        <v>284409504</v>
      </c>
      <c r="AIR16" s="637">
        <v>-10357969000</v>
      </c>
      <c r="AIS16" s="637">
        <v>-6961799000</v>
      </c>
      <c r="AIT16" s="637">
        <v>1902799078</v>
      </c>
      <c r="AIU16" s="637">
        <v>1913777410</v>
      </c>
      <c r="AIV16" s="637">
        <v>680136724</v>
      </c>
      <c r="AIW16" s="637">
        <v>793310587</v>
      </c>
      <c r="AIX16" s="637">
        <v>135499</v>
      </c>
      <c r="AIY16" s="637">
        <v>108182</v>
      </c>
      <c r="AIZ16" s="637">
        <v>1455178558</v>
      </c>
      <c r="AJA16" s="637">
        <v>1824689821</v>
      </c>
      <c r="AJB16" s="637">
        <v>36500134000</v>
      </c>
      <c r="AJC16" s="637">
        <v>26587918000</v>
      </c>
      <c r="AJD16" s="637">
        <v>35855000</v>
      </c>
      <c r="AJE16" s="637">
        <v>41806000</v>
      </c>
      <c r="AJF16" s="637">
        <v>-1627000000</v>
      </c>
      <c r="AJG16" s="637">
        <v>-2202000000</v>
      </c>
      <c r="AJH16" s="637">
        <v>1672344759</v>
      </c>
      <c r="AJI16" s="637">
        <v>1948255106</v>
      </c>
      <c r="AJJ16" s="637">
        <v>1880757549</v>
      </c>
      <c r="AJK16" s="637">
        <v>10299043750</v>
      </c>
      <c r="AJL16" s="771" t="s">
        <v>224</v>
      </c>
      <c r="AJM16" s="771" t="s">
        <v>224</v>
      </c>
      <c r="AJN16" s="637">
        <v>29477161</v>
      </c>
      <c r="AJO16" s="637">
        <v>3949697111</v>
      </c>
    </row>
    <row r="17" spans="1:951" x14ac:dyDescent="0.25">
      <c r="A17" s="90" t="s">
        <v>21</v>
      </c>
      <c r="B17" s="98">
        <v>0</v>
      </c>
      <c r="C17" s="98">
        <v>2821339.4529999997</v>
      </c>
      <c r="D17" s="98">
        <v>3880981.7030000002</v>
      </c>
      <c r="E17" s="98">
        <v>1474452</v>
      </c>
      <c r="F17" s="98">
        <v>5043385</v>
      </c>
      <c r="G17" s="98">
        <v>708332</v>
      </c>
      <c r="H17" s="98">
        <v>803076</v>
      </c>
      <c r="I17" s="98">
        <v>864493.20399999991</v>
      </c>
      <c r="J17" s="98">
        <v>922440</v>
      </c>
      <c r="K17" s="98">
        <v>0</v>
      </c>
      <c r="L17" s="98">
        <v>2823604.9539999999</v>
      </c>
      <c r="M17" s="98">
        <v>1921364.7069999999</v>
      </c>
      <c r="N17" s="98">
        <v>1081843.1310000001</v>
      </c>
      <c r="O17" s="99">
        <v>1839442</v>
      </c>
      <c r="P17" s="99">
        <v>1955134</v>
      </c>
      <c r="Q17" s="99">
        <v>0</v>
      </c>
      <c r="R17" s="99">
        <v>955787.76199999999</v>
      </c>
      <c r="S17" s="99">
        <v>988896</v>
      </c>
      <c r="T17" s="99">
        <v>1026436</v>
      </c>
      <c r="U17" s="99">
        <v>1038545</v>
      </c>
      <c r="V17" s="98">
        <v>0</v>
      </c>
      <c r="W17" s="98">
        <v>0</v>
      </c>
      <c r="X17" s="98">
        <v>675960</v>
      </c>
      <c r="Y17" s="98">
        <v>760508</v>
      </c>
      <c r="Z17" s="98">
        <v>898310</v>
      </c>
      <c r="AA17" s="98">
        <v>0</v>
      </c>
      <c r="AB17" s="98">
        <v>716647.31200000003</v>
      </c>
      <c r="AC17" s="98">
        <v>731228.91199999989</v>
      </c>
      <c r="AD17" s="98">
        <v>788904</v>
      </c>
      <c r="AE17" s="98">
        <v>830164</v>
      </c>
      <c r="AF17" s="98">
        <v>245967.28499999995</v>
      </c>
      <c r="AG17" s="98">
        <v>1264191.2849999999</v>
      </c>
      <c r="AH17" s="98">
        <v>1266703.4849999999</v>
      </c>
      <c r="AI17" s="99">
        <v>1277858</v>
      </c>
      <c r="AJ17" s="99">
        <v>1292080</v>
      </c>
      <c r="AK17" s="98">
        <v>0</v>
      </c>
      <c r="AL17" s="98">
        <v>830518.32499999995</v>
      </c>
      <c r="AM17" s="98">
        <v>818635.88100000005</v>
      </c>
      <c r="AN17" s="98">
        <v>826464</v>
      </c>
      <c r="AO17" s="98">
        <v>872302</v>
      </c>
      <c r="AP17" s="98">
        <v>0</v>
      </c>
      <c r="AQ17" s="98">
        <v>528890</v>
      </c>
      <c r="AR17" s="98">
        <v>544662</v>
      </c>
      <c r="AS17" s="98">
        <v>569725</v>
      </c>
      <c r="AT17" s="98">
        <v>615695</v>
      </c>
      <c r="AU17" s="98">
        <v>796588</v>
      </c>
      <c r="AV17" s="98">
        <v>817346</v>
      </c>
      <c r="AW17" s="98">
        <v>839051</v>
      </c>
      <c r="AX17" s="98">
        <v>808246</v>
      </c>
      <c r="AY17" s="98">
        <v>0</v>
      </c>
      <c r="AZ17" s="98">
        <v>602742.21500000008</v>
      </c>
      <c r="BA17" s="98">
        <v>632855.47600000002</v>
      </c>
      <c r="BB17" s="98">
        <v>675936.93800000008</v>
      </c>
      <c r="BC17" s="98">
        <v>390900</v>
      </c>
      <c r="BD17" s="98">
        <v>719583</v>
      </c>
      <c r="BE17" s="98">
        <v>0</v>
      </c>
      <c r="BF17" s="98">
        <v>694498.73300000001</v>
      </c>
      <c r="BG17" s="98">
        <v>732926.71700000006</v>
      </c>
      <c r="BH17" s="98">
        <v>796150</v>
      </c>
      <c r="BI17" s="98">
        <v>871426</v>
      </c>
      <c r="BJ17" s="98">
        <v>0</v>
      </c>
      <c r="BK17" s="98">
        <v>0</v>
      </c>
      <c r="BL17" s="98">
        <v>0</v>
      </c>
      <c r="BM17" s="98">
        <v>0</v>
      </c>
      <c r="BN17" s="98">
        <v>1832659</v>
      </c>
      <c r="BO17" s="98">
        <v>0</v>
      </c>
      <c r="BP17" s="98">
        <v>0</v>
      </c>
      <c r="BQ17" s="98">
        <v>163205</v>
      </c>
      <c r="BR17" s="98">
        <v>2735143</v>
      </c>
      <c r="BS17" s="98">
        <v>2520810</v>
      </c>
      <c r="BT17" s="98">
        <v>375237.20199999999</v>
      </c>
      <c r="BU17" s="98">
        <v>553861.11099999992</v>
      </c>
      <c r="BV17" s="98">
        <v>787217</v>
      </c>
      <c r="BW17" s="98">
        <v>866698</v>
      </c>
      <c r="BX17" s="98">
        <v>759375</v>
      </c>
      <c r="BY17" s="98">
        <v>0</v>
      </c>
      <c r="BZ17" s="98">
        <v>1584173.7290000001</v>
      </c>
      <c r="CA17" s="98">
        <v>1500588.858</v>
      </c>
      <c r="CB17" s="98">
        <v>1503046</v>
      </c>
      <c r="CC17" s="98">
        <v>1542972</v>
      </c>
      <c r="CD17" s="98">
        <v>254486.64800000002</v>
      </c>
      <c r="CE17" s="98">
        <v>300812.34499999997</v>
      </c>
      <c r="CF17" s="98">
        <v>305830.62599999999</v>
      </c>
      <c r="CG17" s="98">
        <v>311204</v>
      </c>
      <c r="CH17" s="98">
        <v>317454</v>
      </c>
      <c r="CI17" s="98">
        <v>0</v>
      </c>
      <c r="CJ17" s="98">
        <v>0</v>
      </c>
      <c r="CK17" s="98">
        <v>1210.4390000000001</v>
      </c>
      <c r="CL17" s="98">
        <v>250124</v>
      </c>
      <c r="CM17" s="98">
        <v>0</v>
      </c>
      <c r="CN17" s="98">
        <v>0</v>
      </c>
      <c r="CO17" s="98">
        <v>1070096.3330000001</v>
      </c>
      <c r="CP17" s="98">
        <v>1665292.996</v>
      </c>
      <c r="CQ17" s="98">
        <v>2186147</v>
      </c>
      <c r="CR17" s="98">
        <v>2195014</v>
      </c>
      <c r="CS17" s="98">
        <v>0</v>
      </c>
      <c r="CT17" s="98">
        <v>464035.32400000002</v>
      </c>
      <c r="CU17" s="98">
        <v>472063</v>
      </c>
      <c r="CV17" s="98">
        <v>938195</v>
      </c>
      <c r="CW17" s="98">
        <v>947216</v>
      </c>
      <c r="CX17" s="98">
        <v>0</v>
      </c>
      <c r="CY17" s="98">
        <v>245331.01300000001</v>
      </c>
      <c r="CZ17" s="98">
        <v>251177.01300000001</v>
      </c>
      <c r="DA17" s="99">
        <v>256591</v>
      </c>
      <c r="DB17" s="99">
        <v>261917</v>
      </c>
      <c r="DC17" s="98">
        <v>297921</v>
      </c>
      <c r="DD17" s="98">
        <v>301254</v>
      </c>
      <c r="DE17" s="98">
        <v>307470</v>
      </c>
      <c r="DF17" s="98">
        <v>316971</v>
      </c>
      <c r="DG17" s="98">
        <v>340866</v>
      </c>
      <c r="DH17" s="98">
        <v>0</v>
      </c>
      <c r="DI17" s="98">
        <v>0</v>
      </c>
      <c r="DJ17" s="98">
        <v>0</v>
      </c>
      <c r="DK17" s="98">
        <v>0</v>
      </c>
      <c r="DL17" s="98">
        <v>823397</v>
      </c>
      <c r="DM17" s="101">
        <v>2670486</v>
      </c>
      <c r="DN17" s="98">
        <v>3961230</v>
      </c>
      <c r="DO17" s="98">
        <v>8290351</v>
      </c>
      <c r="DP17" s="98">
        <v>9708638</v>
      </c>
      <c r="DQ17" s="98">
        <v>9639676</v>
      </c>
      <c r="DR17" s="98">
        <v>52270810.413999997</v>
      </c>
      <c r="DS17" s="98">
        <v>58159875.501000002</v>
      </c>
      <c r="DT17" s="98">
        <v>68897937.715999991</v>
      </c>
      <c r="DU17" s="98">
        <v>113722896</v>
      </c>
      <c r="DV17" s="98">
        <v>102169265</v>
      </c>
      <c r="DW17" s="98">
        <v>799579.89600000007</v>
      </c>
      <c r="DX17" s="98">
        <v>861669.57899999991</v>
      </c>
      <c r="DY17" s="98">
        <v>1300777.3730000001</v>
      </c>
      <c r="DZ17" s="98">
        <v>1328380</v>
      </c>
      <c r="EA17" s="98">
        <v>1355130</v>
      </c>
      <c r="EB17" s="98">
        <v>0</v>
      </c>
      <c r="EC17" s="98">
        <v>0</v>
      </c>
      <c r="ED17" s="98">
        <v>0</v>
      </c>
      <c r="EE17" s="98">
        <v>0</v>
      </c>
      <c r="EF17" s="98">
        <v>865097</v>
      </c>
      <c r="EG17" s="98">
        <v>0</v>
      </c>
      <c r="EH17" s="98">
        <v>0</v>
      </c>
      <c r="EI17" s="98">
        <v>0</v>
      </c>
      <c r="EJ17" s="98">
        <v>2082080</v>
      </c>
      <c r="EK17" s="98">
        <v>3575655</v>
      </c>
      <c r="EL17" s="98">
        <v>0</v>
      </c>
      <c r="EM17" s="98">
        <v>0</v>
      </c>
      <c r="EN17" s="98">
        <v>0</v>
      </c>
      <c r="EO17" s="98">
        <v>728653</v>
      </c>
      <c r="EP17" s="98">
        <v>373501</v>
      </c>
      <c r="EQ17" s="98">
        <v>0</v>
      </c>
      <c r="ER17" s="98">
        <v>0</v>
      </c>
      <c r="ES17" s="98">
        <v>0</v>
      </c>
      <c r="ET17" s="98">
        <v>0</v>
      </c>
      <c r="EU17" s="98">
        <v>948675</v>
      </c>
      <c r="EV17" s="98">
        <v>1663990</v>
      </c>
      <c r="EW17" s="98">
        <v>1619793</v>
      </c>
      <c r="EX17" s="99">
        <v>1955134</v>
      </c>
      <c r="EY17" s="99">
        <v>2134728</v>
      </c>
      <c r="EZ17" s="99">
        <v>1038545</v>
      </c>
      <c r="FA17" s="99">
        <v>2262821</v>
      </c>
      <c r="FB17" s="98">
        <v>830164</v>
      </c>
      <c r="FC17" s="98">
        <v>868708</v>
      </c>
      <c r="FD17" s="99">
        <v>1292080</v>
      </c>
      <c r="FE17" s="98">
        <v>1323526</v>
      </c>
      <c r="FF17" s="98">
        <v>872302</v>
      </c>
      <c r="FG17" s="98">
        <v>1022414</v>
      </c>
      <c r="FH17" s="98">
        <v>615695</v>
      </c>
      <c r="FI17" s="98">
        <v>0</v>
      </c>
      <c r="FJ17" s="98">
        <v>0</v>
      </c>
      <c r="FK17" s="98">
        <v>0</v>
      </c>
      <c r="FL17" s="98">
        <v>0</v>
      </c>
      <c r="FM17" s="98">
        <v>835254</v>
      </c>
      <c r="FN17" s="98">
        <v>2520810</v>
      </c>
      <c r="FO17" s="98">
        <v>2543538</v>
      </c>
      <c r="FP17" s="98">
        <v>871426</v>
      </c>
      <c r="FQ17" s="98">
        <v>937645</v>
      </c>
      <c r="FR17" s="98">
        <v>759375</v>
      </c>
      <c r="FS17" s="98">
        <v>0</v>
      </c>
      <c r="FT17" s="98">
        <v>719583</v>
      </c>
      <c r="FU17" s="98">
        <v>786564</v>
      </c>
      <c r="FV17" s="98">
        <v>1542972</v>
      </c>
      <c r="FW17" s="99">
        <v>1573351</v>
      </c>
      <c r="FX17" s="98">
        <v>865097</v>
      </c>
      <c r="FY17" s="98">
        <v>879339</v>
      </c>
      <c r="FZ17" s="98">
        <v>898310</v>
      </c>
      <c r="GA17" s="98">
        <v>1113486</v>
      </c>
      <c r="GB17" s="98">
        <v>1832659</v>
      </c>
      <c r="GC17" s="98">
        <v>1958529</v>
      </c>
      <c r="GD17" s="98">
        <v>317454</v>
      </c>
      <c r="GE17" s="98">
        <v>327515</v>
      </c>
      <c r="GF17" s="98"/>
      <c r="GG17" s="98"/>
      <c r="GH17" s="98">
        <v>2195014</v>
      </c>
      <c r="GI17" s="98">
        <v>1671612</v>
      </c>
      <c r="GJ17" s="98">
        <v>1464358</v>
      </c>
      <c r="GK17" s="98">
        <v>1498108</v>
      </c>
      <c r="GL17" s="98">
        <v>2439807</v>
      </c>
      <c r="GM17" s="98">
        <v>2935687</v>
      </c>
      <c r="GN17" s="98">
        <v>913035</v>
      </c>
      <c r="GO17" s="98">
        <v>1103545</v>
      </c>
      <c r="GP17" s="98">
        <v>776930</v>
      </c>
      <c r="GQ17" s="98">
        <v>812260</v>
      </c>
      <c r="GR17" s="98"/>
      <c r="GS17" s="98"/>
      <c r="GT17" s="98">
        <v>1945856</v>
      </c>
      <c r="GU17" s="98">
        <v>2553569</v>
      </c>
      <c r="GV17" s="98">
        <v>0</v>
      </c>
      <c r="GW17" s="98">
        <v>498812</v>
      </c>
      <c r="GX17" s="98">
        <v>1727293</v>
      </c>
      <c r="GY17" s="98">
        <v>1770054</v>
      </c>
      <c r="GZ17" s="98">
        <v>610586</v>
      </c>
      <c r="HA17" s="98">
        <v>3647937</v>
      </c>
      <c r="HB17" s="98">
        <v>1944430</v>
      </c>
      <c r="HC17" s="98">
        <v>2211142</v>
      </c>
      <c r="HD17" s="98">
        <v>529246</v>
      </c>
      <c r="HE17" s="98">
        <v>1036215</v>
      </c>
      <c r="HF17" s="98">
        <v>8044147</v>
      </c>
      <c r="HG17" s="98">
        <v>7749887</v>
      </c>
      <c r="HH17" s="98">
        <v>25442529</v>
      </c>
      <c r="HI17" s="98">
        <v>34034491</v>
      </c>
      <c r="HJ17" s="98">
        <v>2125116</v>
      </c>
      <c r="HK17" s="98">
        <v>2152291</v>
      </c>
      <c r="HL17" s="98">
        <v>789058</v>
      </c>
      <c r="HM17" s="98">
        <v>2128914</v>
      </c>
      <c r="HN17" s="98">
        <v>680265</v>
      </c>
      <c r="HO17" s="98">
        <v>861380</v>
      </c>
      <c r="HP17" s="98">
        <v>1378889</v>
      </c>
      <c r="HQ17" s="98">
        <v>1383830</v>
      </c>
      <c r="HR17" s="98">
        <v>2361549</v>
      </c>
      <c r="HS17" s="98">
        <v>2476937</v>
      </c>
      <c r="HT17" s="98">
        <v>3575655</v>
      </c>
      <c r="HU17" s="98">
        <v>0</v>
      </c>
      <c r="HV17" s="98">
        <v>373501</v>
      </c>
      <c r="HW17" s="98">
        <v>108754</v>
      </c>
      <c r="HX17" s="98">
        <v>5918341</v>
      </c>
      <c r="HY17" s="98">
        <v>5948568</v>
      </c>
      <c r="HZ17" s="98">
        <v>1801809</v>
      </c>
      <c r="IA17" s="98">
        <v>1992887</v>
      </c>
      <c r="IB17" s="98">
        <v>1216542</v>
      </c>
      <c r="IC17" s="98">
        <v>1341912</v>
      </c>
      <c r="ID17" s="98">
        <v>5701595</v>
      </c>
      <c r="IE17" s="98">
        <v>4986756</v>
      </c>
      <c r="IF17" s="98">
        <v>6319727</v>
      </c>
      <c r="IG17" s="98">
        <v>6825749</v>
      </c>
      <c r="IH17" s="98">
        <v>397842</v>
      </c>
      <c r="II17" s="98">
        <v>412111</v>
      </c>
      <c r="IJ17" s="98">
        <v>1142342</v>
      </c>
      <c r="IK17" s="98">
        <v>1068271</v>
      </c>
      <c r="IL17" s="98">
        <v>948675</v>
      </c>
      <c r="IM17" s="98">
        <v>1043164</v>
      </c>
      <c r="IN17" s="98">
        <v>0</v>
      </c>
      <c r="IO17" s="98">
        <v>0</v>
      </c>
      <c r="IP17" s="99">
        <v>261917</v>
      </c>
      <c r="IQ17" s="98">
        <v>267348</v>
      </c>
      <c r="IR17" s="98">
        <v>340866</v>
      </c>
      <c r="IS17" s="98">
        <v>342010</v>
      </c>
      <c r="IT17" s="98">
        <v>823397</v>
      </c>
      <c r="IU17" s="98">
        <v>848918</v>
      </c>
      <c r="IV17" s="98">
        <v>9639676</v>
      </c>
      <c r="IW17" s="98">
        <v>9822596</v>
      </c>
      <c r="IX17" s="98">
        <v>102169265</v>
      </c>
      <c r="IY17" s="98">
        <v>236661814</v>
      </c>
      <c r="IZ17" s="98">
        <v>1355130</v>
      </c>
      <c r="JA17" s="98">
        <v>1372216</v>
      </c>
      <c r="JB17" s="98">
        <v>1619793</v>
      </c>
      <c r="JC17" s="98">
        <v>1633304</v>
      </c>
      <c r="JD17" s="99">
        <v>2134728</v>
      </c>
      <c r="JE17" s="99">
        <v>2616385</v>
      </c>
      <c r="JF17" s="99">
        <v>2262821</v>
      </c>
      <c r="JG17" s="99">
        <v>2290073</v>
      </c>
      <c r="JH17" s="98">
        <v>868708</v>
      </c>
      <c r="JI17" s="98">
        <v>1285089</v>
      </c>
      <c r="JJ17" s="99">
        <v>1323526</v>
      </c>
      <c r="JK17" s="98">
        <v>1384919</v>
      </c>
      <c r="JL17" s="98">
        <v>1022414</v>
      </c>
      <c r="JM17" s="98">
        <v>929269</v>
      </c>
      <c r="JN17" s="98">
        <v>668050</v>
      </c>
      <c r="JO17" s="98">
        <v>0</v>
      </c>
      <c r="JP17" s="98">
        <v>0</v>
      </c>
      <c r="JQ17" s="98">
        <v>0</v>
      </c>
      <c r="JR17" s="98">
        <v>835254</v>
      </c>
      <c r="JS17" s="98">
        <v>878275</v>
      </c>
      <c r="JT17" s="98">
        <v>2543538</v>
      </c>
      <c r="JU17" s="98">
        <v>2453632</v>
      </c>
      <c r="JV17" s="98">
        <v>937645</v>
      </c>
      <c r="JW17" s="98">
        <v>999239</v>
      </c>
      <c r="JX17" s="98">
        <v>0</v>
      </c>
      <c r="JY17" s="98">
        <v>0</v>
      </c>
      <c r="JZ17" s="98">
        <v>786564</v>
      </c>
      <c r="KA17" s="98">
        <v>848249</v>
      </c>
      <c r="KB17" s="98">
        <v>1573351</v>
      </c>
      <c r="KC17" s="99">
        <v>1540857</v>
      </c>
      <c r="KD17" s="98">
        <v>879339</v>
      </c>
      <c r="KE17" s="98">
        <v>899328</v>
      </c>
      <c r="KF17" s="98">
        <v>1113486</v>
      </c>
      <c r="KG17" s="98">
        <v>1190103</v>
      </c>
      <c r="KH17" s="98">
        <v>1958529</v>
      </c>
      <c r="KI17" s="98">
        <v>0</v>
      </c>
      <c r="KJ17" s="98">
        <v>327515</v>
      </c>
      <c r="KK17" s="98">
        <v>596231</v>
      </c>
      <c r="KL17" s="98">
        <v>-418878</v>
      </c>
      <c r="KM17" s="98">
        <v>-418878</v>
      </c>
      <c r="KN17" s="98">
        <v>1671612</v>
      </c>
      <c r="KO17" s="98">
        <v>2023661</v>
      </c>
      <c r="KP17" s="98">
        <v>1498108</v>
      </c>
      <c r="KQ17" s="98">
        <v>0</v>
      </c>
      <c r="KR17" s="98">
        <v>2935687</v>
      </c>
      <c r="KS17" s="98">
        <v>4226795</v>
      </c>
      <c r="KT17" s="98">
        <v>1103545</v>
      </c>
      <c r="KU17" s="98">
        <v>1249394</v>
      </c>
      <c r="KV17" s="98">
        <v>884250</v>
      </c>
      <c r="KW17" s="98">
        <v>0</v>
      </c>
      <c r="KX17" s="98">
        <v>217414</v>
      </c>
      <c r="KY17" s="98">
        <v>0</v>
      </c>
      <c r="KZ17" s="98">
        <v>2553569</v>
      </c>
      <c r="LA17" s="98">
        <v>2316730</v>
      </c>
      <c r="LB17" s="98">
        <v>498812</v>
      </c>
      <c r="LC17" s="98">
        <v>503478</v>
      </c>
      <c r="LD17" s="98">
        <v>1770054</v>
      </c>
      <c r="LE17" s="98">
        <v>1863085</v>
      </c>
      <c r="LF17" s="98">
        <v>3647937</v>
      </c>
      <c r="LG17" s="98">
        <v>3012220</v>
      </c>
      <c r="LH17" s="98">
        <v>2211142</v>
      </c>
      <c r="LI17" s="98">
        <v>2602113</v>
      </c>
      <c r="LJ17" s="98">
        <v>1036215</v>
      </c>
      <c r="LK17" s="98">
        <v>1045072</v>
      </c>
      <c r="LL17" s="98">
        <v>7749887</v>
      </c>
      <c r="LM17" s="98">
        <v>7160397</v>
      </c>
      <c r="LN17" s="98">
        <v>34034491</v>
      </c>
      <c r="LO17" s="98">
        <v>41668143</v>
      </c>
      <c r="LP17" s="98">
        <v>2152291</v>
      </c>
      <c r="LQ17" s="98">
        <v>1733012</v>
      </c>
      <c r="LR17" s="98">
        <v>2128914</v>
      </c>
      <c r="LS17" s="98">
        <v>-2860000</v>
      </c>
      <c r="LT17" s="98">
        <v>861380</v>
      </c>
      <c r="LU17" s="98">
        <v>846299</v>
      </c>
      <c r="LV17" s="98">
        <v>1383830</v>
      </c>
      <c r="LW17" s="98">
        <v>1288827</v>
      </c>
      <c r="LX17" s="98">
        <v>2476937</v>
      </c>
      <c r="LY17" s="98">
        <v>3472892</v>
      </c>
      <c r="LZ17" s="98">
        <v>0</v>
      </c>
      <c r="MA17" s="98">
        <v>0</v>
      </c>
      <c r="MB17" s="98">
        <v>108754</v>
      </c>
      <c r="MC17" s="98">
        <v>927349</v>
      </c>
      <c r="MD17" s="98">
        <v>5948568</v>
      </c>
      <c r="ME17" s="98">
        <v>4950261</v>
      </c>
      <c r="MF17" s="98">
        <v>1992887</v>
      </c>
      <c r="MG17" s="98">
        <v>2217843</v>
      </c>
      <c r="MH17" s="98">
        <v>1341912</v>
      </c>
      <c r="MI17" s="98">
        <v>1441951</v>
      </c>
      <c r="MJ17" s="98">
        <v>4986756</v>
      </c>
      <c r="MK17" s="98">
        <v>4228776</v>
      </c>
      <c r="ML17" s="98">
        <v>6825749</v>
      </c>
      <c r="MM17" s="98">
        <v>7666351</v>
      </c>
      <c r="MN17" s="98">
        <v>412111</v>
      </c>
      <c r="MO17" s="98">
        <v>424184</v>
      </c>
      <c r="MP17" s="98">
        <v>1068271</v>
      </c>
      <c r="MQ17" s="98">
        <v>9870109</v>
      </c>
      <c r="MR17" s="98">
        <v>1043164</v>
      </c>
      <c r="MS17" s="98">
        <v>1208695</v>
      </c>
      <c r="MT17" s="98">
        <v>1016692</v>
      </c>
      <c r="MU17" s="98">
        <v>1016692</v>
      </c>
      <c r="MV17" s="98">
        <v>267348</v>
      </c>
      <c r="MW17" s="98">
        <v>284756</v>
      </c>
      <c r="MX17" s="98">
        <v>342010</v>
      </c>
      <c r="MY17" s="98">
        <v>220941</v>
      </c>
      <c r="MZ17" s="98">
        <v>848918</v>
      </c>
      <c r="NA17" s="98">
        <v>853635</v>
      </c>
      <c r="NB17" s="98">
        <v>9822596</v>
      </c>
      <c r="NC17" s="98">
        <v>12726407</v>
      </c>
      <c r="ND17" s="98">
        <v>236661814</v>
      </c>
      <c r="NE17" s="98">
        <v>229778440</v>
      </c>
      <c r="NF17" s="98">
        <v>1372216</v>
      </c>
      <c r="NG17" s="98">
        <v>1437899</v>
      </c>
      <c r="NH17" s="759">
        <v>1633304</v>
      </c>
      <c r="NI17" s="759" t="e">
        <f>SUM(NI15:NI16)</f>
        <v>#REF!</v>
      </c>
      <c r="NJ17" s="393">
        <f>SUM(NJ15:NJ16)</f>
        <v>-553225</v>
      </c>
      <c r="NK17" s="393">
        <f>SUM(NK15:NK16)</f>
        <v>852898</v>
      </c>
      <c r="NL17" s="393">
        <v>2290073</v>
      </c>
      <c r="NM17" s="393" t="e">
        <f>SUM(NM15:NM16)</f>
        <v>#REF!</v>
      </c>
      <c r="NN17" s="759" t="e">
        <f>SUM(NN15:NN16)</f>
        <v>#REF!</v>
      </c>
      <c r="NO17" s="759" t="e">
        <f>SUM(NO15:NO16)</f>
        <v>#REF!</v>
      </c>
      <c r="NP17" s="393">
        <v>1384919</v>
      </c>
      <c r="NQ17" s="759" t="e">
        <f>SUM(NQ15:NQ16)</f>
        <v>#REF!</v>
      </c>
      <c r="NR17" s="759">
        <v>929269</v>
      </c>
      <c r="NS17" s="759">
        <f>SUM(NS15:NS16)</f>
        <v>626715</v>
      </c>
      <c r="NT17" s="759">
        <v>668050</v>
      </c>
      <c r="NU17" s="759">
        <f>SUM(NU15:NU16)</f>
        <v>0</v>
      </c>
      <c r="NV17" s="759">
        <f>SUM(NV15:NV16)</f>
        <v>0</v>
      </c>
      <c r="NW17" s="759">
        <f>SUM(NW15:NW16)</f>
        <v>0</v>
      </c>
      <c r="NX17" s="759">
        <f>SUM(NX15:NX16)</f>
        <v>588125</v>
      </c>
      <c r="NY17" s="759">
        <f>SUM(NY15:NY16)</f>
        <v>588125</v>
      </c>
      <c r="NZ17" s="759">
        <f>SUM(NZ15:NZ16)</f>
        <v>2350894</v>
      </c>
      <c r="OA17" s="759">
        <f>SUM(OA15:OA16)</f>
        <v>2353862</v>
      </c>
      <c r="OB17" s="759">
        <v>999239</v>
      </c>
      <c r="OC17" s="759">
        <f>SUM(OC15:OC16)</f>
        <v>703951</v>
      </c>
      <c r="OD17" s="759">
        <f>SUM(OD15:OD16)</f>
        <v>0</v>
      </c>
      <c r="OE17" s="759">
        <f>SUM(OE15:OE16)</f>
        <v>0</v>
      </c>
      <c r="OF17" s="759">
        <f>SUM(OF15:OF16)</f>
        <v>927125</v>
      </c>
      <c r="OG17" s="759">
        <f>SUM(OG15:OG16)</f>
        <v>931665</v>
      </c>
      <c r="OH17" s="759">
        <v>1540857</v>
      </c>
      <c r="OI17" s="393">
        <f>SUM(OI15:OI16)</f>
        <v>1415590</v>
      </c>
      <c r="OJ17" s="759">
        <v>899328</v>
      </c>
      <c r="OK17" s="759">
        <f>SUM(OK15:OK16)</f>
        <v>851003</v>
      </c>
      <c r="OL17" s="759">
        <f>SUM(OL15:OL16)</f>
        <v>975597</v>
      </c>
      <c r="OM17" s="759">
        <f>SUM(OM15:OM16)</f>
        <v>749817</v>
      </c>
      <c r="ON17" s="759">
        <f>SUM(ON15:ON16)</f>
        <v>0</v>
      </c>
      <c r="OO17" s="759">
        <f>SUM(OO15:OO16)</f>
        <v>1037701</v>
      </c>
      <c r="OP17" s="759">
        <v>596231</v>
      </c>
      <c r="OQ17" s="759">
        <f>SUM(OQ15:OQ16)</f>
        <v>412309</v>
      </c>
      <c r="OR17" s="759">
        <v>-418878</v>
      </c>
      <c r="OS17" s="759">
        <f>SUM(OS15:OS16)</f>
        <v>0</v>
      </c>
      <c r="OT17" s="759">
        <v>2023661</v>
      </c>
      <c r="OU17" s="759">
        <f>SUM(OU15:OU16)</f>
        <v>805000</v>
      </c>
      <c r="OV17" s="759">
        <f>SUM(OV15:OV16)</f>
        <v>0</v>
      </c>
      <c r="OW17" s="759">
        <f>SUM(OW15:OW16)</f>
        <v>959813</v>
      </c>
      <c r="OX17" s="759">
        <v>4226795</v>
      </c>
      <c r="OY17" s="759">
        <f>SUM(OY15:OY16)</f>
        <v>3730915</v>
      </c>
      <c r="OZ17" s="759">
        <v>1249394</v>
      </c>
      <c r="PA17" s="759">
        <f>SUM(PA15:PA16)</f>
        <v>591476</v>
      </c>
      <c r="PB17" s="759">
        <f>SUM(PB15:PB16)</f>
        <v>884250</v>
      </c>
      <c r="PC17" s="759">
        <f>SUM(PC15:PC16)</f>
        <v>884250</v>
      </c>
      <c r="PD17" s="759">
        <f>SUM(PD15:PD16)</f>
        <v>0</v>
      </c>
      <c r="PE17" s="759">
        <f>SUM(PE15:PE16)</f>
        <v>0</v>
      </c>
      <c r="PF17" s="759">
        <v>2316730</v>
      </c>
      <c r="PG17" s="759">
        <f>SUM(PG15:PG16)</f>
        <v>1464933</v>
      </c>
      <c r="PH17" s="759">
        <v>503478</v>
      </c>
      <c r="PI17" s="759">
        <f>SUM(PI15:PI16)</f>
        <v>0</v>
      </c>
      <c r="PJ17" s="759">
        <v>1863085</v>
      </c>
      <c r="PK17" s="759">
        <f>SUM(PK15:PK16)</f>
        <v>3274153</v>
      </c>
      <c r="PL17" s="759" t="e">
        <f>SUM(PL15:PL16)</f>
        <v>#REF!</v>
      </c>
      <c r="PM17" s="759" t="e">
        <f>SUM(PM15:PM16)</f>
        <v>#REF!</v>
      </c>
      <c r="PN17" s="759" t="e">
        <f>SUM(PN15:PN16)</f>
        <v>#REF!</v>
      </c>
      <c r="PO17" s="759" t="e">
        <f>SUM(PO15:PO16)</f>
        <v>#REF!</v>
      </c>
      <c r="PP17" s="759">
        <f>SUM(PP15:PP16)</f>
        <v>1309214</v>
      </c>
      <c r="PQ17" s="759">
        <f>SUM(PQ15:PQ16)</f>
        <v>1309150</v>
      </c>
      <c r="PR17" s="759">
        <v>7160397</v>
      </c>
      <c r="PS17" s="759">
        <f>SUM(PS15:PS16)</f>
        <v>3818764</v>
      </c>
      <c r="PT17" s="759">
        <f>SUM(PT15:PT16)</f>
        <v>3724469</v>
      </c>
      <c r="PU17" s="759">
        <f>SUM(PU15:PU16)</f>
        <v>3724469</v>
      </c>
      <c r="PV17" s="759">
        <f>SUM(PV15:PV16)</f>
        <v>2043103</v>
      </c>
      <c r="PW17" s="759">
        <f>SUM(PW15:PW16)</f>
        <v>2043103</v>
      </c>
      <c r="PX17" s="759">
        <f>SUM(PX15:PX16)</f>
        <v>9572000</v>
      </c>
      <c r="PY17" s="759">
        <f>SUM(PY15:PY16)</f>
        <v>12742000</v>
      </c>
      <c r="PZ17" s="759">
        <v>846299</v>
      </c>
      <c r="QA17" s="759">
        <f>SUM(QA15:QA16)</f>
        <v>505063</v>
      </c>
      <c r="QB17" s="759">
        <v>1288827</v>
      </c>
      <c r="QC17" s="759">
        <f>SUM(QC15:QC16)</f>
        <v>1857910</v>
      </c>
      <c r="QD17" s="759">
        <v>3472892</v>
      </c>
      <c r="QE17" s="759">
        <f>SUM(QE15:QE16)</f>
        <v>3954028</v>
      </c>
      <c r="QF17" s="759">
        <f>SUM(QF15:QF16)</f>
        <v>0</v>
      </c>
      <c r="QG17" s="759">
        <f>SUM(QG15:QG16)</f>
        <v>0</v>
      </c>
      <c r="QH17" s="759">
        <v>927349</v>
      </c>
      <c r="QI17" s="759">
        <f>SUM(QI15:QI16)</f>
        <v>805000</v>
      </c>
      <c r="QJ17" s="759">
        <v>4950261</v>
      </c>
      <c r="QK17" s="759">
        <f>SUM(QK15:QK16)</f>
        <v>6976070</v>
      </c>
      <c r="QL17" s="759">
        <v>2217843</v>
      </c>
      <c r="QM17" s="759">
        <f>SUM(QM15:QM16)</f>
        <v>1707683</v>
      </c>
      <c r="QN17" s="759">
        <f>SUM(QN15:QN16)</f>
        <v>637965</v>
      </c>
      <c r="QO17" s="759">
        <f>SUM(QO15:QO16)</f>
        <v>637965</v>
      </c>
      <c r="QP17" s="759">
        <v>4228776</v>
      </c>
      <c r="QQ17" s="759">
        <f>SUM(QQ15:QQ16)</f>
        <v>2431321</v>
      </c>
      <c r="QR17" s="759">
        <v>7666351</v>
      </c>
      <c r="QS17" s="759">
        <f>SUM(QS15:QS16)</f>
        <v>1353811</v>
      </c>
      <c r="QT17" s="759">
        <v>424184</v>
      </c>
      <c r="QU17" s="759">
        <f>SUM(QU15:QU16)</f>
        <v>236188</v>
      </c>
      <c r="QV17" s="759">
        <f>SUM(QV15:QV16)</f>
        <v>650550</v>
      </c>
      <c r="QW17" s="759">
        <f>SUM(QW15:QW16)</f>
        <v>9920648</v>
      </c>
      <c r="QX17" s="759">
        <f>SUM(QX15:QX16)</f>
        <v>855059</v>
      </c>
      <c r="QY17" s="759">
        <f>SUM(QY15:QY16)</f>
        <v>866731</v>
      </c>
      <c r="QZ17" s="759">
        <f>SUM(QZ15:QZ16)</f>
        <v>933499</v>
      </c>
      <c r="RA17" s="759">
        <f>SUM(RA15:RA16)</f>
        <v>933499</v>
      </c>
      <c r="RB17" s="759">
        <v>284756</v>
      </c>
      <c r="RC17" s="759">
        <f>SUM(RC15:RC16)</f>
        <v>378063</v>
      </c>
      <c r="RD17" s="759">
        <f>SUM(RD15:RD16)</f>
        <v>216000</v>
      </c>
      <c r="RE17" s="759">
        <f>SUM(RE15:RE16)</f>
        <v>227434</v>
      </c>
      <c r="RF17" s="759">
        <v>853635</v>
      </c>
      <c r="RG17" s="759">
        <f>SUM(RG15:RG16)</f>
        <v>0</v>
      </c>
      <c r="RH17" s="759">
        <f>SUM(RH15:RH16)</f>
        <v>10478717</v>
      </c>
      <c r="RI17" s="759">
        <f>SUM(RI15:RI16)</f>
        <v>12456015</v>
      </c>
      <c r="RJ17" s="759">
        <f>SUM(RJ15:RJ16)</f>
        <v>134196091</v>
      </c>
      <c r="RK17" s="759">
        <f>SUM(RK15:RK16)</f>
        <v>131738276</v>
      </c>
      <c r="RL17" s="759">
        <v>1437899</v>
      </c>
      <c r="RM17" s="759">
        <f>SUM(RM15:RM16)</f>
        <v>1379784</v>
      </c>
      <c r="RN17" s="98">
        <v>1078566</v>
      </c>
      <c r="RO17" s="98">
        <v>1102479</v>
      </c>
      <c r="RP17" s="98">
        <v>606466</v>
      </c>
      <c r="RQ17" s="98">
        <v>827914</v>
      </c>
      <c r="RR17" s="99">
        <v>1954143</v>
      </c>
      <c r="RS17" s="98">
        <v>1993554</v>
      </c>
      <c r="RT17" s="98">
        <v>1316592</v>
      </c>
      <c r="RU17" s="98">
        <v>1328339</v>
      </c>
      <c r="RV17" s="98">
        <v>1386267</v>
      </c>
      <c r="RW17" s="98">
        <v>1386015</v>
      </c>
      <c r="RX17" s="98">
        <v>1145400</v>
      </c>
      <c r="RY17" s="98">
        <v>1161742</v>
      </c>
      <c r="RZ17" s="98">
        <v>0</v>
      </c>
      <c r="SA17" s="98">
        <v>0</v>
      </c>
      <c r="SB17" s="98">
        <v>0</v>
      </c>
      <c r="SC17" s="98">
        <v>0</v>
      </c>
      <c r="SD17" s="98">
        <v>891048</v>
      </c>
      <c r="SE17" s="98">
        <v>634467</v>
      </c>
      <c r="SF17" s="98">
        <v>2474928</v>
      </c>
      <c r="SG17" s="98">
        <v>2551550</v>
      </c>
      <c r="SH17" s="98">
        <v>1072541</v>
      </c>
      <c r="SI17" s="98">
        <v>1156335</v>
      </c>
      <c r="SJ17" s="98">
        <v>0</v>
      </c>
      <c r="SK17" s="98">
        <v>0</v>
      </c>
      <c r="SL17" s="98">
        <v>863379</v>
      </c>
      <c r="SM17" s="98">
        <v>940816</v>
      </c>
      <c r="SN17" s="99">
        <v>1581370</v>
      </c>
      <c r="SO17" s="98">
        <v>1335847</v>
      </c>
      <c r="SP17" s="98">
        <v>929610</v>
      </c>
      <c r="SQ17" s="98">
        <v>973642</v>
      </c>
      <c r="SR17" s="98">
        <v>1399894</v>
      </c>
      <c r="SS17" s="98">
        <v>1567669</v>
      </c>
      <c r="ST17" s="98">
        <v>1911845</v>
      </c>
      <c r="SU17" s="98"/>
      <c r="SV17" s="98">
        <v>515496</v>
      </c>
      <c r="SW17" s="98">
        <v>552157</v>
      </c>
      <c r="SX17" s="98">
        <v>-374832</v>
      </c>
      <c r="SY17" s="98">
        <v>1394605</v>
      </c>
      <c r="SZ17" s="98">
        <v>1938570</v>
      </c>
      <c r="TA17" s="98">
        <v>1991271</v>
      </c>
      <c r="TB17" s="98">
        <v>1564784</v>
      </c>
      <c r="TC17" s="98">
        <v>0</v>
      </c>
      <c r="TD17" s="98">
        <v>11295221</v>
      </c>
      <c r="TE17" s="98">
        <v>11980761</v>
      </c>
      <c r="TF17" s="98">
        <v>724136</v>
      </c>
      <c r="TG17" s="98">
        <v>647012</v>
      </c>
      <c r="TH17" s="98">
        <v>861187</v>
      </c>
      <c r="TI17" s="98">
        <v>845463</v>
      </c>
      <c r="TJ17" s="98">
        <v>0</v>
      </c>
      <c r="TK17" s="98">
        <v>0</v>
      </c>
      <c r="TL17" s="98">
        <v>1822618</v>
      </c>
      <c r="TM17" s="98">
        <v>1475148</v>
      </c>
      <c r="TN17" s="98">
        <v>0</v>
      </c>
      <c r="TO17" s="98">
        <v>641727</v>
      </c>
      <c r="TP17" s="98">
        <v>2517823</v>
      </c>
      <c r="TQ17" s="98">
        <v>2460995</v>
      </c>
      <c r="TR17" s="98">
        <v>57964095</v>
      </c>
      <c r="TS17" s="98">
        <v>51770320</v>
      </c>
      <c r="TT17" s="98">
        <v>1976020</v>
      </c>
      <c r="TU17" s="98">
        <v>2138844</v>
      </c>
      <c r="TV17" s="98">
        <v>1115311000</v>
      </c>
      <c r="TW17" s="98">
        <v>828918000</v>
      </c>
      <c r="TX17" s="98">
        <v>6803027</v>
      </c>
      <c r="TY17" s="98">
        <v>6881326</v>
      </c>
      <c r="TZ17" s="98">
        <v>45089279</v>
      </c>
      <c r="UA17" s="98">
        <v>49278072</v>
      </c>
      <c r="UB17" s="98">
        <v>1733012</v>
      </c>
      <c r="UC17" s="98">
        <v>0</v>
      </c>
      <c r="UD17" s="98">
        <v>-1203000</v>
      </c>
      <c r="UE17" s="98">
        <v>11448000</v>
      </c>
      <c r="UF17" s="98">
        <v>863785</v>
      </c>
      <c r="UG17" s="98">
        <v>1762126</v>
      </c>
      <c r="UH17" s="98">
        <v>2409787</v>
      </c>
      <c r="UI17" s="98">
        <v>2246479</v>
      </c>
      <c r="UJ17" s="98">
        <v>4140766</v>
      </c>
      <c r="UK17" s="98">
        <v>4422995</v>
      </c>
      <c r="UL17" s="98">
        <v>0</v>
      </c>
      <c r="UM17" s="98">
        <v>0</v>
      </c>
      <c r="UN17" s="98">
        <v>-450554</v>
      </c>
      <c r="UO17" s="98">
        <v>-781563</v>
      </c>
      <c r="UP17" s="98">
        <v>3099922</v>
      </c>
      <c r="UQ17" s="98">
        <v>2964416</v>
      </c>
      <c r="UR17" s="98">
        <v>2327289</v>
      </c>
      <c r="US17" s="98">
        <v>3877999</v>
      </c>
      <c r="UT17" s="98">
        <v>1441951</v>
      </c>
      <c r="UU17" s="98">
        <v>0</v>
      </c>
      <c r="UV17" s="98">
        <v>3123934</v>
      </c>
      <c r="UW17" s="98">
        <v>3687670</v>
      </c>
      <c r="UX17" s="98">
        <v>8623617</v>
      </c>
      <c r="UY17" s="98">
        <v>7852576</v>
      </c>
      <c r="UZ17" s="98">
        <v>459749</v>
      </c>
      <c r="VA17" s="98">
        <v>494549</v>
      </c>
      <c r="VB17" s="98">
        <v>7424154</v>
      </c>
      <c r="VC17" s="98">
        <v>6618391</v>
      </c>
      <c r="VD17" s="98">
        <v>3162421</v>
      </c>
      <c r="VE17" s="98">
        <v>3246371</v>
      </c>
      <c r="VF17" s="98">
        <v>1016692</v>
      </c>
      <c r="VG17" s="98">
        <v>0</v>
      </c>
      <c r="VH17" s="98">
        <v>311687</v>
      </c>
      <c r="VI17" s="98">
        <v>321289</v>
      </c>
      <c r="VJ17" s="98">
        <v>227674</v>
      </c>
      <c r="VK17" s="98">
        <v>228292</v>
      </c>
      <c r="VL17" s="98">
        <v>0</v>
      </c>
      <c r="VM17" s="98">
        <v>1697705</v>
      </c>
      <c r="VN17" s="98">
        <v>12726407</v>
      </c>
      <c r="VO17" s="98">
        <v>0</v>
      </c>
      <c r="VP17" s="98">
        <v>116104413</v>
      </c>
      <c r="VQ17" s="98">
        <v>121642065</v>
      </c>
      <c r="VR17" s="98">
        <v>1471424</v>
      </c>
      <c r="VS17" s="98">
        <v>1514968</v>
      </c>
      <c r="VT17" s="98">
        <v>1102479</v>
      </c>
      <c r="VU17" s="98">
        <v>1126152</v>
      </c>
      <c r="VV17" s="98">
        <v>465986</v>
      </c>
      <c r="VW17" s="98">
        <v>332599</v>
      </c>
      <c r="VX17" s="99">
        <v>1993554</v>
      </c>
      <c r="VY17" s="98">
        <v>2006764</v>
      </c>
      <c r="VZ17" s="98">
        <v>1328339</v>
      </c>
      <c r="WA17" s="98">
        <v>1396214</v>
      </c>
      <c r="WB17" s="98">
        <v>1386015</v>
      </c>
      <c r="WC17" s="98">
        <v>2198274</v>
      </c>
      <c r="WD17" s="98">
        <v>1161742</v>
      </c>
      <c r="WE17" s="98">
        <v>980834</v>
      </c>
      <c r="WF17" s="98">
        <v>0</v>
      </c>
      <c r="WG17" s="98">
        <v>0</v>
      </c>
      <c r="WH17" s="98">
        <v>0</v>
      </c>
      <c r="WI17" s="98">
        <v>0</v>
      </c>
      <c r="WJ17" s="98">
        <v>634467</v>
      </c>
      <c r="WK17" s="98">
        <v>537008</v>
      </c>
      <c r="WL17" s="98">
        <v>1049790</v>
      </c>
      <c r="WM17" s="98">
        <v>1070785</v>
      </c>
      <c r="WN17" s="98">
        <v>1156335</v>
      </c>
      <c r="WO17" s="98">
        <v>1666977</v>
      </c>
      <c r="WP17" s="98">
        <v>0</v>
      </c>
      <c r="WQ17" s="98">
        <v>0</v>
      </c>
      <c r="WR17" s="98">
        <v>823250</v>
      </c>
      <c r="WS17" s="98">
        <v>1000616</v>
      </c>
      <c r="WT17" s="99">
        <v>1335847</v>
      </c>
      <c r="WU17" s="98">
        <v>1113855</v>
      </c>
      <c r="WV17" s="98">
        <v>973642</v>
      </c>
      <c r="WW17" s="98">
        <v>1014873</v>
      </c>
      <c r="WX17" s="98">
        <v>1567669</v>
      </c>
      <c r="WY17" s="98">
        <v>1387237</v>
      </c>
      <c r="WZ17" s="98">
        <v>0</v>
      </c>
      <c r="XA17" s="98">
        <v>1741085</v>
      </c>
      <c r="XB17" s="98">
        <v>552157</v>
      </c>
      <c r="XC17" s="98">
        <v>562209</v>
      </c>
      <c r="XD17" s="98">
        <v>1386799</v>
      </c>
      <c r="XE17" s="98">
        <v>1432828</v>
      </c>
      <c r="XF17" s="98">
        <v>1991271</v>
      </c>
      <c r="XG17" s="98">
        <v>2355939</v>
      </c>
      <c r="XH17" s="98">
        <v>1348292</v>
      </c>
      <c r="XI17" s="98">
        <v>831617</v>
      </c>
      <c r="XJ17" s="98">
        <v>11980761</v>
      </c>
      <c r="XK17" s="98">
        <v>13672853</v>
      </c>
      <c r="XL17" s="98">
        <v>647012</v>
      </c>
      <c r="XM17" s="98">
        <v>633977</v>
      </c>
      <c r="XN17" s="98">
        <v>783719</v>
      </c>
      <c r="XO17" s="98">
        <v>783718</v>
      </c>
      <c r="XP17" s="98">
        <v>0</v>
      </c>
      <c r="XQ17" s="98">
        <v>0</v>
      </c>
      <c r="XR17" s="98">
        <v>1475148</v>
      </c>
      <c r="XS17" s="98">
        <v>1630132</v>
      </c>
      <c r="XT17" s="98">
        <v>641727</v>
      </c>
      <c r="XU17" s="98">
        <v>-289486</v>
      </c>
      <c r="XV17" s="98">
        <v>2248473</v>
      </c>
      <c r="XW17" s="98">
        <v>2253743</v>
      </c>
      <c r="XX17" s="98">
        <v>51770320</v>
      </c>
      <c r="XY17" s="98">
        <v>40755853</v>
      </c>
      <c r="XZ17" s="98">
        <v>2656754</v>
      </c>
      <c r="YA17" s="98">
        <v>2638925</v>
      </c>
      <c r="YB17" s="98">
        <v>828918</v>
      </c>
      <c r="YC17" s="98">
        <v>1042883</v>
      </c>
      <c r="YD17" s="98">
        <v>7329936</v>
      </c>
      <c r="YE17" s="98">
        <v>7458730</v>
      </c>
      <c r="YF17" s="98">
        <v>49278072</v>
      </c>
      <c r="YG17" s="98">
        <v>52590996</v>
      </c>
      <c r="YH17" s="98">
        <v>0</v>
      </c>
      <c r="YI17" s="98">
        <v>0</v>
      </c>
      <c r="YJ17" s="98">
        <v>11448000</v>
      </c>
      <c r="YK17" s="98">
        <v>0</v>
      </c>
      <c r="YL17" s="98">
        <v>1364135589</v>
      </c>
      <c r="YM17" s="98">
        <v>1428349563</v>
      </c>
      <c r="YN17" s="98">
        <v>2246479</v>
      </c>
      <c r="YO17" s="98">
        <v>2340525</v>
      </c>
      <c r="YP17" s="98">
        <v>4422995</v>
      </c>
      <c r="YQ17" s="98">
        <v>5294189</v>
      </c>
      <c r="YR17" s="98">
        <v>0</v>
      </c>
      <c r="YS17" s="98">
        <v>0</v>
      </c>
      <c r="YT17" s="98">
        <v>-781563</v>
      </c>
      <c r="YU17" s="98">
        <v>987445</v>
      </c>
      <c r="YV17" s="98">
        <v>2964416</v>
      </c>
      <c r="YW17" s="98">
        <v>2200181</v>
      </c>
      <c r="YX17" s="98">
        <v>3877999</v>
      </c>
      <c r="YY17" s="98">
        <v>7654015</v>
      </c>
      <c r="YZ17" s="98">
        <v>1343951</v>
      </c>
      <c r="ZA17" s="98">
        <v>1373521</v>
      </c>
      <c r="ZB17" s="98">
        <v>3687670</v>
      </c>
      <c r="ZC17" s="98">
        <v>2525375</v>
      </c>
      <c r="ZD17" s="98">
        <v>7852576</v>
      </c>
      <c r="ZE17" s="98">
        <v>7347082</v>
      </c>
      <c r="ZF17" s="98">
        <v>494549</v>
      </c>
      <c r="ZG17" s="98">
        <v>494549</v>
      </c>
      <c r="ZH17" s="98">
        <v>6618391</v>
      </c>
      <c r="ZI17" s="98">
        <v>4440779</v>
      </c>
      <c r="ZJ17" s="98">
        <v>3246371</v>
      </c>
      <c r="ZK17" s="98">
        <v>2849618</v>
      </c>
      <c r="ZL17" s="98">
        <v>0</v>
      </c>
      <c r="ZM17" s="98">
        <v>0</v>
      </c>
      <c r="ZN17" s="98">
        <v>321289</v>
      </c>
      <c r="ZO17" s="98">
        <v>316658</v>
      </c>
      <c r="ZP17" s="98">
        <v>228292</v>
      </c>
      <c r="ZQ17" s="98">
        <v>0</v>
      </c>
      <c r="ZR17" s="98">
        <v>1697705</v>
      </c>
      <c r="ZS17" s="98">
        <v>1743854</v>
      </c>
      <c r="ZT17" s="98">
        <v>0</v>
      </c>
      <c r="ZU17" s="98">
        <v>0</v>
      </c>
      <c r="ZV17" s="98">
        <v>121642065</v>
      </c>
      <c r="ZW17" s="98">
        <v>108168005</v>
      </c>
      <c r="ZX17" s="98">
        <v>1488145</v>
      </c>
      <c r="ZY17" s="98">
        <v>1492070</v>
      </c>
      <c r="ZZ17" s="605"/>
      <c r="AAA17" s="605"/>
      <c r="AAB17" s="605"/>
      <c r="AAC17" s="605"/>
      <c r="AAD17" s="605"/>
      <c r="AAE17" s="605"/>
      <c r="AAF17" s="605"/>
      <c r="AAG17" s="605"/>
      <c r="AAH17" s="605"/>
      <c r="AAI17" s="605"/>
      <c r="AAJ17" s="605"/>
      <c r="AAK17" s="605"/>
      <c r="AAL17" s="605"/>
      <c r="AAM17" s="605"/>
      <c r="AAN17" s="605"/>
      <c r="AAO17" s="605"/>
      <c r="AAP17" s="605"/>
      <c r="AAQ17" s="605"/>
      <c r="AAR17" s="605"/>
      <c r="AAS17" s="605"/>
      <c r="AAT17" s="605"/>
      <c r="AAU17" s="605"/>
      <c r="AAV17" s="605"/>
      <c r="AAW17" s="605"/>
      <c r="AAX17" s="605"/>
      <c r="AAY17" s="605"/>
      <c r="AAZ17" s="605"/>
      <c r="ABA17" s="605"/>
      <c r="ABB17" s="605"/>
      <c r="ABC17" s="605"/>
      <c r="ABD17" s="605"/>
      <c r="ABE17" s="605"/>
      <c r="ABF17" s="605"/>
      <c r="ABG17" s="605"/>
      <c r="ABH17" s="605"/>
      <c r="ABI17" s="605"/>
      <c r="ABJ17" s="605"/>
      <c r="ABK17" s="605"/>
      <c r="ABL17" s="605"/>
      <c r="ABM17" s="605"/>
      <c r="ABN17" s="605"/>
      <c r="ABO17" s="605"/>
      <c r="ABP17" s="605"/>
      <c r="ABQ17" s="605"/>
      <c r="ABR17" s="605"/>
      <c r="ABS17" s="605"/>
      <c r="ABT17" s="605"/>
      <c r="ABU17" s="605"/>
      <c r="ABV17" s="605"/>
      <c r="ABW17" s="605"/>
      <c r="ABX17" s="605"/>
      <c r="ABY17" s="605"/>
      <c r="ABZ17" s="605"/>
      <c r="ACA17" s="605"/>
      <c r="ACB17" s="605"/>
      <c r="ACC17" s="605"/>
      <c r="ACD17" s="605"/>
      <c r="ACE17" s="605"/>
      <c r="ACF17" s="605"/>
      <c r="ACG17" s="605"/>
      <c r="ACH17" s="605"/>
      <c r="ACI17" s="605"/>
      <c r="ACJ17" s="605"/>
      <c r="ACK17" s="605"/>
      <c r="ACL17" s="605"/>
      <c r="ACM17" s="605"/>
      <c r="ACN17" s="605"/>
      <c r="ACO17" s="605"/>
      <c r="ACP17" s="605"/>
      <c r="ACQ17" s="605"/>
      <c r="ACR17" s="605"/>
      <c r="ACS17" s="605"/>
      <c r="ACT17" s="605"/>
      <c r="ACU17" s="605"/>
      <c r="ACV17" s="605"/>
      <c r="ACW17" s="605"/>
      <c r="ACX17" s="605"/>
      <c r="ACY17" s="605"/>
      <c r="ACZ17" s="605"/>
      <c r="ADA17" s="605"/>
      <c r="ADB17" s="605"/>
      <c r="ADC17" s="605"/>
      <c r="ADD17" s="605"/>
      <c r="ADE17" s="605"/>
      <c r="ADF17" s="605"/>
      <c r="ADG17" s="605"/>
      <c r="ADH17" s="605"/>
      <c r="ADI17" s="605"/>
      <c r="ADJ17" s="605"/>
      <c r="ADK17" s="605"/>
      <c r="ADL17" s="605"/>
      <c r="ADM17" s="605"/>
      <c r="ADN17" s="605"/>
      <c r="ADO17" s="605"/>
      <c r="ADP17" s="605"/>
      <c r="ADQ17" s="605"/>
      <c r="ADR17" s="605"/>
      <c r="ADS17" s="605"/>
      <c r="ADT17" s="605"/>
      <c r="ADU17" s="605"/>
      <c r="ADV17" s="605"/>
      <c r="ADW17" s="605"/>
      <c r="ADX17" s="605"/>
      <c r="ADY17" s="605"/>
      <c r="ADZ17" s="605"/>
      <c r="AEA17" s="605"/>
      <c r="AEB17" s="605"/>
      <c r="AEC17" s="605"/>
      <c r="AED17" s="605"/>
      <c r="AEE17" s="605"/>
      <c r="AEF17" s="605"/>
      <c r="AEG17" s="605"/>
      <c r="AEH17" s="605"/>
      <c r="AEI17" s="605"/>
      <c r="AEJ17" s="605"/>
      <c r="AEK17" s="605"/>
      <c r="AEL17" s="605"/>
      <c r="AEM17" s="605"/>
      <c r="AEN17" s="605"/>
      <c r="AEO17" s="605"/>
      <c r="AEP17" s="605"/>
      <c r="AEQ17" s="605"/>
      <c r="AER17" s="605"/>
      <c r="AES17" s="605"/>
      <c r="AET17" s="605"/>
      <c r="AEU17" s="605"/>
      <c r="AEV17" s="605"/>
      <c r="AEW17" s="605"/>
      <c r="AEX17" s="605"/>
      <c r="AEY17" s="605"/>
      <c r="AEZ17" s="605"/>
      <c r="AFA17" s="605"/>
      <c r="AFB17" s="605"/>
      <c r="AFC17" s="605"/>
      <c r="AFD17" s="605"/>
      <c r="AFE17" s="605"/>
      <c r="AFF17" s="605"/>
      <c r="AFG17" s="605"/>
      <c r="AFH17" s="605"/>
      <c r="AFI17" s="605"/>
      <c r="AFJ17" s="605"/>
      <c r="AFK17" s="605"/>
      <c r="AFL17" s="605"/>
      <c r="AFM17" s="605"/>
      <c r="AFN17" s="605"/>
      <c r="AFO17" s="605"/>
      <c r="AFP17" s="605"/>
      <c r="AFQ17" s="605"/>
      <c r="AFR17" s="605"/>
      <c r="AFS17" s="605"/>
      <c r="AFT17" s="605"/>
      <c r="AFU17" s="605"/>
      <c r="AFV17" s="605"/>
      <c r="AFW17" s="605"/>
      <c r="AFX17" s="605"/>
      <c r="AFY17" s="605"/>
      <c r="AFZ17" s="605"/>
      <c r="AGA17" s="605"/>
      <c r="AGB17" s="605"/>
      <c r="AGC17" s="605"/>
      <c r="AGD17" s="605"/>
      <c r="AGE17" s="605"/>
      <c r="AGF17" s="605"/>
      <c r="AGG17" s="605"/>
      <c r="AGH17" s="605"/>
      <c r="AGI17" s="605"/>
      <c r="AGJ17" s="605"/>
      <c r="AGK17" s="605"/>
      <c r="AGL17" s="605"/>
      <c r="AGM17" s="605"/>
      <c r="AGN17" s="605"/>
      <c r="AGO17" s="605"/>
      <c r="AGP17" s="605"/>
      <c r="AGQ17" s="605"/>
      <c r="AGR17" s="605"/>
      <c r="AGS17" s="605"/>
      <c r="AGT17" s="605"/>
      <c r="AGU17" s="605"/>
      <c r="AGV17" s="605"/>
      <c r="AGW17" s="605"/>
      <c r="AGX17" s="605"/>
      <c r="AGY17" s="605"/>
      <c r="AGZ17" s="605"/>
      <c r="AHA17" s="605"/>
      <c r="AHB17" s="605"/>
      <c r="AHC17" s="605"/>
      <c r="AHD17" s="605"/>
      <c r="AHE17" s="605"/>
      <c r="AHF17" s="605"/>
      <c r="AHG17" s="605"/>
      <c r="AHH17" s="605"/>
      <c r="AHI17" s="605"/>
      <c r="AHJ17" s="605"/>
      <c r="AHK17" s="605"/>
      <c r="AHL17" s="605"/>
      <c r="AHM17" s="605"/>
      <c r="AHN17" s="605"/>
      <c r="AHO17" s="605"/>
      <c r="AHP17" s="605"/>
      <c r="AHQ17" s="605"/>
      <c r="AHR17" s="605"/>
      <c r="AHS17" s="605"/>
      <c r="AHT17" s="605"/>
      <c r="AHU17" s="605"/>
      <c r="AHV17" s="605"/>
      <c r="AHW17" s="605"/>
      <c r="AHX17" s="605"/>
      <c r="AHY17" s="605"/>
      <c r="AHZ17" s="605"/>
      <c r="AIA17" s="605"/>
      <c r="AIB17" s="605"/>
      <c r="AIC17" s="605"/>
      <c r="AID17" s="605"/>
      <c r="AIE17" s="605"/>
      <c r="AIF17" s="605"/>
      <c r="AIG17" s="605"/>
      <c r="AIH17" s="605"/>
      <c r="AII17" s="605"/>
      <c r="AIJ17" s="605"/>
      <c r="AIK17" s="605"/>
      <c r="AIL17" s="605"/>
      <c r="AIM17" s="605"/>
      <c r="AIN17" s="605"/>
      <c r="AIO17" s="605"/>
      <c r="AIP17" s="605"/>
      <c r="AIQ17" s="605"/>
      <c r="AIR17" s="605"/>
      <c r="AIS17" s="605"/>
      <c r="AIT17" s="605"/>
      <c r="AIU17" s="605"/>
      <c r="AIV17" s="605"/>
      <c r="AIW17" s="605"/>
      <c r="AIX17" s="605"/>
      <c r="AIY17" s="605"/>
      <c r="AIZ17" s="605"/>
      <c r="AJA17" s="605"/>
      <c r="AJB17" s="605"/>
      <c r="AJC17" s="605"/>
      <c r="AJD17" s="605"/>
      <c r="AJE17" s="605"/>
      <c r="AJF17" s="605"/>
      <c r="AJG17" s="605"/>
      <c r="AJH17" s="605"/>
      <c r="AJI17" s="605"/>
      <c r="AJJ17" s="605"/>
      <c r="AJK17" s="605"/>
      <c r="AJL17" s="605"/>
      <c r="AJM17" s="605"/>
      <c r="AJN17" s="605"/>
      <c r="AJO17" s="605"/>
    </row>
    <row r="18" spans="1:951" x14ac:dyDescent="0.25">
      <c r="A18" s="90" t="s">
        <v>22</v>
      </c>
      <c r="B18" s="98">
        <v>0</v>
      </c>
      <c r="C18" s="98">
        <v>4118163.9639999997</v>
      </c>
      <c r="D18" s="98">
        <v>7830683.8059999999</v>
      </c>
      <c r="E18" s="98">
        <v>4660532</v>
      </c>
      <c r="F18" s="98">
        <v>10731840</v>
      </c>
      <c r="G18" s="98">
        <v>1116334</v>
      </c>
      <c r="H18" s="98">
        <v>1048783</v>
      </c>
      <c r="I18" s="98">
        <v>1047407.9449999999</v>
      </c>
      <c r="J18" s="98">
        <v>1094213</v>
      </c>
      <c r="K18" s="98">
        <v>0</v>
      </c>
      <c r="L18" s="98">
        <v>5372881.6370000001</v>
      </c>
      <c r="M18" s="98">
        <v>5942122.4629999995</v>
      </c>
      <c r="N18" s="98">
        <v>6253349.3030000003</v>
      </c>
      <c r="O18" s="96">
        <v>6326005</v>
      </c>
      <c r="P18" s="96">
        <v>7712467</v>
      </c>
      <c r="Q18" s="99">
        <v>0</v>
      </c>
      <c r="R18" s="99">
        <v>1042680.898</v>
      </c>
      <c r="S18" s="99">
        <v>1149140</v>
      </c>
      <c r="T18" s="96">
        <v>1356954</v>
      </c>
      <c r="U18" s="96">
        <v>3710160</v>
      </c>
      <c r="V18" s="98">
        <v>0</v>
      </c>
      <c r="W18" s="98">
        <v>0</v>
      </c>
      <c r="X18" s="98">
        <v>993967</v>
      </c>
      <c r="Y18" s="98">
        <v>1350128</v>
      </c>
      <c r="Z18" s="98">
        <v>1756516</v>
      </c>
      <c r="AA18" s="98">
        <v>0</v>
      </c>
      <c r="AB18" s="98">
        <v>772487.31200000003</v>
      </c>
      <c r="AC18" s="98">
        <v>761480.23599999992</v>
      </c>
      <c r="AD18" s="98">
        <v>994498</v>
      </c>
      <c r="AE18" s="98">
        <v>1345211</v>
      </c>
      <c r="AF18" s="98">
        <v>1890099.2989999999</v>
      </c>
      <c r="AG18" s="98">
        <v>1600234.416</v>
      </c>
      <c r="AH18" s="98">
        <v>1557497.8909999998</v>
      </c>
      <c r="AI18" s="96">
        <v>1781335</v>
      </c>
      <c r="AJ18" s="96">
        <v>1674967</v>
      </c>
      <c r="AK18" s="98">
        <v>0</v>
      </c>
      <c r="AL18" s="98">
        <v>877852.12</v>
      </c>
      <c r="AM18" s="98">
        <v>1553781.9040000001</v>
      </c>
      <c r="AN18" s="98">
        <v>1547917</v>
      </c>
      <c r="AO18" s="98">
        <v>1576466</v>
      </c>
      <c r="AP18" s="98">
        <v>0</v>
      </c>
      <c r="AQ18" s="98">
        <v>626363</v>
      </c>
      <c r="AR18" s="98">
        <v>601452</v>
      </c>
      <c r="AS18" s="98">
        <v>698073</v>
      </c>
      <c r="AT18" s="98">
        <v>843820</v>
      </c>
      <c r="AU18" s="98">
        <v>1363842</v>
      </c>
      <c r="AV18" s="98">
        <v>993691</v>
      </c>
      <c r="AW18" s="98">
        <v>865142</v>
      </c>
      <c r="AX18" s="98">
        <v>824923</v>
      </c>
      <c r="AY18" s="98">
        <v>0</v>
      </c>
      <c r="AZ18" s="98">
        <v>672627.08800000011</v>
      </c>
      <c r="BA18" s="98">
        <v>784095.245</v>
      </c>
      <c r="BB18" s="98">
        <v>678798.16700000013</v>
      </c>
      <c r="BC18" s="98">
        <v>395010</v>
      </c>
      <c r="BD18" s="98">
        <v>725577</v>
      </c>
      <c r="BE18" s="98">
        <v>0</v>
      </c>
      <c r="BF18" s="98">
        <v>1164470.8229999999</v>
      </c>
      <c r="BG18" s="98">
        <v>1172889.1630000002</v>
      </c>
      <c r="BH18" s="98">
        <v>1297500</v>
      </c>
      <c r="BI18" s="98">
        <v>1438269</v>
      </c>
      <c r="BJ18" s="98">
        <v>0</v>
      </c>
      <c r="BK18" s="98">
        <v>0</v>
      </c>
      <c r="BL18" s="98">
        <v>0</v>
      </c>
      <c r="BM18" s="98">
        <v>0</v>
      </c>
      <c r="BN18" s="98">
        <v>2461617</v>
      </c>
      <c r="BO18" s="98">
        <v>0</v>
      </c>
      <c r="BP18" s="98">
        <v>0</v>
      </c>
      <c r="BQ18" s="98">
        <v>194324</v>
      </c>
      <c r="BR18" s="98">
        <v>2806427</v>
      </c>
      <c r="BS18" s="98">
        <v>2662856</v>
      </c>
      <c r="BT18" s="98">
        <v>494585.826</v>
      </c>
      <c r="BU18" s="98">
        <v>748138.87099999993</v>
      </c>
      <c r="BV18" s="98">
        <v>902135</v>
      </c>
      <c r="BW18" s="98">
        <v>1101441</v>
      </c>
      <c r="BX18" s="98">
        <v>1086618</v>
      </c>
      <c r="BY18" s="98">
        <v>0</v>
      </c>
      <c r="BZ18" s="98">
        <v>2377548.0040000002</v>
      </c>
      <c r="CA18" s="98">
        <v>1998381.8870000001</v>
      </c>
      <c r="CB18" s="98">
        <v>2932471</v>
      </c>
      <c r="CC18" s="98">
        <v>3704185</v>
      </c>
      <c r="CD18" s="99">
        <v>280163.87300000002</v>
      </c>
      <c r="CE18" s="98">
        <v>309396.28599999996</v>
      </c>
      <c r="CF18" s="98">
        <v>319851.11099999998</v>
      </c>
      <c r="CG18" s="98">
        <v>329713</v>
      </c>
      <c r="CH18" s="98">
        <v>338714</v>
      </c>
      <c r="CI18" s="98">
        <v>0</v>
      </c>
      <c r="CJ18" s="98">
        <v>0</v>
      </c>
      <c r="CK18" s="98">
        <v>1597.2050000000002</v>
      </c>
      <c r="CL18" s="98">
        <v>562005</v>
      </c>
      <c r="CM18" s="98">
        <v>0</v>
      </c>
      <c r="CN18" s="98">
        <v>0</v>
      </c>
      <c r="CO18" s="98">
        <v>1366702.6730000002</v>
      </c>
      <c r="CP18" s="98">
        <v>2396888.9989999998</v>
      </c>
      <c r="CQ18" s="98">
        <v>2888341</v>
      </c>
      <c r="CR18" s="98">
        <v>2609602</v>
      </c>
      <c r="CS18" s="98">
        <v>0</v>
      </c>
      <c r="CT18" s="98">
        <v>1250001.2830000001</v>
      </c>
      <c r="CU18" s="98">
        <v>1325414</v>
      </c>
      <c r="CV18" s="98">
        <v>1285010</v>
      </c>
      <c r="CW18" s="98">
        <v>990649</v>
      </c>
      <c r="CX18" s="98">
        <v>0</v>
      </c>
      <c r="CY18" s="98">
        <v>245708.878</v>
      </c>
      <c r="CZ18" s="98">
        <v>251568.64300000001</v>
      </c>
      <c r="DA18" s="99">
        <v>256998</v>
      </c>
      <c r="DB18" s="99">
        <v>261917</v>
      </c>
      <c r="DC18" s="98">
        <v>317553</v>
      </c>
      <c r="DD18" s="98">
        <v>340211</v>
      </c>
      <c r="DE18" s="98">
        <v>372621</v>
      </c>
      <c r="DF18" s="98">
        <v>485736</v>
      </c>
      <c r="DG18" s="98">
        <v>368409</v>
      </c>
      <c r="DH18" s="98">
        <v>0</v>
      </c>
      <c r="DI18" s="98">
        <v>0</v>
      </c>
      <c r="DJ18" s="98">
        <v>0</v>
      </c>
      <c r="DK18" s="98">
        <v>0</v>
      </c>
      <c r="DL18" s="98">
        <v>1169809</v>
      </c>
      <c r="DM18" s="101">
        <v>3206796</v>
      </c>
      <c r="DN18" s="98">
        <v>5003234</v>
      </c>
      <c r="DO18" s="98">
        <v>9566439</v>
      </c>
      <c r="DP18" s="98">
        <v>15147295</v>
      </c>
      <c r="DQ18" s="98">
        <v>14464044</v>
      </c>
      <c r="DR18" s="98">
        <v>109806130.15000001</v>
      </c>
      <c r="DS18" s="98">
        <v>121666682.89300001</v>
      </c>
      <c r="DT18" s="98">
        <v>182735209.303</v>
      </c>
      <c r="DU18" s="98">
        <v>241611974</v>
      </c>
      <c r="DV18" s="98">
        <v>293424582</v>
      </c>
      <c r="DW18" s="98">
        <v>1937995.7719999999</v>
      </c>
      <c r="DX18" s="98">
        <v>1981696.2149999999</v>
      </c>
      <c r="DY18" s="98">
        <v>1827698.6700000002</v>
      </c>
      <c r="DZ18" s="98">
        <v>1887817</v>
      </c>
      <c r="EA18" s="98">
        <v>1792816</v>
      </c>
      <c r="EB18" s="98">
        <v>0</v>
      </c>
      <c r="EC18" s="98">
        <v>0</v>
      </c>
      <c r="ED18" s="98">
        <v>0</v>
      </c>
      <c r="EE18" s="98">
        <v>0</v>
      </c>
      <c r="EF18" s="98">
        <v>932971</v>
      </c>
      <c r="EG18" s="98">
        <v>0</v>
      </c>
      <c r="EH18" s="98">
        <v>0</v>
      </c>
      <c r="EI18" s="98">
        <v>0</v>
      </c>
      <c r="EJ18" s="98">
        <v>2768904</v>
      </c>
      <c r="EK18" s="98">
        <v>3936442</v>
      </c>
      <c r="EL18" s="98">
        <v>0</v>
      </c>
      <c r="EM18" s="98">
        <v>0</v>
      </c>
      <c r="EN18" s="98">
        <v>0</v>
      </c>
      <c r="EO18" s="98">
        <v>1134426</v>
      </c>
      <c r="EP18" s="98">
        <v>1493039</v>
      </c>
      <c r="EQ18" s="98">
        <v>0</v>
      </c>
      <c r="ER18" s="98">
        <v>0</v>
      </c>
      <c r="ES18" s="98">
        <v>0</v>
      </c>
      <c r="ET18" s="98">
        <v>0</v>
      </c>
      <c r="EU18" s="98">
        <v>1265969</v>
      </c>
      <c r="EV18" s="98">
        <v>2067703</v>
      </c>
      <c r="EW18" s="98">
        <v>2174081</v>
      </c>
      <c r="EX18" s="99">
        <v>7712467</v>
      </c>
      <c r="EY18" s="99">
        <v>6920655</v>
      </c>
      <c r="EZ18" s="99">
        <v>3710160</v>
      </c>
      <c r="FA18" s="99">
        <v>4947084</v>
      </c>
      <c r="FB18" s="98">
        <v>1345211</v>
      </c>
      <c r="FC18" s="98">
        <v>1619358</v>
      </c>
      <c r="FD18" s="99">
        <v>1674967</v>
      </c>
      <c r="FE18" s="98">
        <v>1687661</v>
      </c>
      <c r="FF18" s="98">
        <v>1576466</v>
      </c>
      <c r="FG18" s="98">
        <v>1208830</v>
      </c>
      <c r="FH18" s="98">
        <v>843820</v>
      </c>
      <c r="FI18" s="98">
        <v>0</v>
      </c>
      <c r="FJ18" s="98">
        <v>0</v>
      </c>
      <c r="FK18" s="98">
        <v>0</v>
      </c>
      <c r="FL18" s="98">
        <v>0</v>
      </c>
      <c r="FM18" s="98">
        <v>946159</v>
      </c>
      <c r="FN18" s="98">
        <v>2662856</v>
      </c>
      <c r="FO18" s="98">
        <v>2654829</v>
      </c>
      <c r="FP18" s="98">
        <v>1438269</v>
      </c>
      <c r="FQ18" s="98">
        <v>1560489</v>
      </c>
      <c r="FR18" s="98">
        <v>1086618</v>
      </c>
      <c r="FS18" s="98">
        <v>0</v>
      </c>
      <c r="FT18" s="98">
        <v>725577</v>
      </c>
      <c r="FU18" s="98">
        <v>792593</v>
      </c>
      <c r="FV18" s="98">
        <v>3704185</v>
      </c>
      <c r="FW18" s="99">
        <v>2820436</v>
      </c>
      <c r="FX18" s="98">
        <v>932971</v>
      </c>
      <c r="FY18" s="98">
        <v>888024</v>
      </c>
      <c r="FZ18" s="98">
        <v>1756516</v>
      </c>
      <c r="GA18" s="98">
        <v>2101123</v>
      </c>
      <c r="GB18" s="98">
        <v>2461617</v>
      </c>
      <c r="GC18" s="98">
        <v>2432550</v>
      </c>
      <c r="GD18" s="98">
        <v>338714</v>
      </c>
      <c r="GE18" s="98">
        <v>351059</v>
      </c>
      <c r="GF18" s="98"/>
      <c r="GG18" s="98"/>
      <c r="GH18" s="98">
        <v>2609602</v>
      </c>
      <c r="GI18" s="98">
        <v>2459965</v>
      </c>
      <c r="GJ18" s="98">
        <v>1712187</v>
      </c>
      <c r="GK18" s="98">
        <v>1726851</v>
      </c>
      <c r="GL18" s="98">
        <v>5764376</v>
      </c>
      <c r="GM18" s="98">
        <v>6335912</v>
      </c>
      <c r="GN18" s="98">
        <v>3590179</v>
      </c>
      <c r="GO18" s="98">
        <v>3930306</v>
      </c>
      <c r="GP18" s="98">
        <v>776930</v>
      </c>
      <c r="GQ18" s="98">
        <v>812260</v>
      </c>
      <c r="GR18" s="98"/>
      <c r="GS18" s="98"/>
      <c r="GT18" s="98">
        <v>3681533</v>
      </c>
      <c r="GU18" s="98">
        <v>3396162</v>
      </c>
      <c r="GV18" s="98">
        <v>0</v>
      </c>
      <c r="GW18" s="98">
        <v>498812</v>
      </c>
      <c r="GX18" s="98">
        <v>1965538</v>
      </c>
      <c r="GY18" s="98">
        <v>1980507</v>
      </c>
      <c r="GZ18" s="98">
        <v>84648781</v>
      </c>
      <c r="HA18" s="98">
        <v>114378448</v>
      </c>
      <c r="HB18" s="98">
        <v>3213257</v>
      </c>
      <c r="HC18" s="98">
        <v>3282505</v>
      </c>
      <c r="HD18" s="98">
        <v>757096</v>
      </c>
      <c r="HE18" s="98">
        <v>1254074</v>
      </c>
      <c r="HF18" s="98">
        <v>11663651</v>
      </c>
      <c r="HG18" s="98">
        <v>11424032</v>
      </c>
      <c r="HH18" s="98">
        <v>68199587</v>
      </c>
      <c r="HI18" s="98">
        <v>87480094</v>
      </c>
      <c r="HJ18" s="98">
        <v>5014410</v>
      </c>
      <c r="HK18" s="98">
        <v>5749555</v>
      </c>
      <c r="HL18" s="98">
        <v>16310612</v>
      </c>
      <c r="HM18" s="98">
        <v>31548146</v>
      </c>
      <c r="HN18" s="98">
        <v>1339515</v>
      </c>
      <c r="HO18" s="98">
        <v>1218744</v>
      </c>
      <c r="HP18" s="98">
        <v>1537010</v>
      </c>
      <c r="HQ18" s="98">
        <v>1756489</v>
      </c>
      <c r="HR18" s="98">
        <v>6387108</v>
      </c>
      <c r="HS18" s="98">
        <v>7536056</v>
      </c>
      <c r="HT18" s="98">
        <v>3936442</v>
      </c>
      <c r="HU18" s="98">
        <v>0</v>
      </c>
      <c r="HV18" s="98">
        <v>1493039</v>
      </c>
      <c r="HW18" s="98">
        <v>1089910</v>
      </c>
      <c r="HX18" s="98">
        <v>9113839</v>
      </c>
      <c r="HY18" s="98">
        <v>10122369</v>
      </c>
      <c r="HZ18" s="98">
        <v>6458263</v>
      </c>
      <c r="IA18" s="98">
        <v>8201920</v>
      </c>
      <c r="IB18" s="98">
        <v>1619157</v>
      </c>
      <c r="IC18" s="98">
        <v>2267848</v>
      </c>
      <c r="ID18" s="98">
        <v>14629288</v>
      </c>
      <c r="IE18" s="98">
        <v>13997226</v>
      </c>
      <c r="IF18" s="98">
        <v>8569081</v>
      </c>
      <c r="IG18" s="98">
        <v>8983035</v>
      </c>
      <c r="IH18" s="98">
        <v>453069</v>
      </c>
      <c r="II18" s="98">
        <v>509252</v>
      </c>
      <c r="IJ18" s="98">
        <v>5876337</v>
      </c>
      <c r="IK18" s="98">
        <v>6130176</v>
      </c>
      <c r="IL18" s="98">
        <v>1265969</v>
      </c>
      <c r="IM18" s="98">
        <v>2539378</v>
      </c>
      <c r="IN18" s="98">
        <v>0</v>
      </c>
      <c r="IO18" s="98">
        <v>0</v>
      </c>
      <c r="IP18" s="99">
        <v>261917</v>
      </c>
      <c r="IQ18" s="98">
        <v>267498</v>
      </c>
      <c r="IR18" s="98">
        <v>368409</v>
      </c>
      <c r="IS18" s="98">
        <v>403377</v>
      </c>
      <c r="IT18" s="98">
        <v>1169809</v>
      </c>
      <c r="IU18" s="98">
        <v>1179569</v>
      </c>
      <c r="IV18" s="98">
        <v>14464044</v>
      </c>
      <c r="IW18" s="98">
        <v>13347617</v>
      </c>
      <c r="IX18" s="98">
        <v>293424582</v>
      </c>
      <c r="IY18" s="98">
        <v>415231025</v>
      </c>
      <c r="IZ18" s="98">
        <v>1792816</v>
      </c>
      <c r="JA18" s="98">
        <v>1869634</v>
      </c>
      <c r="JB18" s="98">
        <v>2174081</v>
      </c>
      <c r="JC18" s="98">
        <v>2165031</v>
      </c>
      <c r="JD18" s="99">
        <v>6920655</v>
      </c>
      <c r="JE18" s="99">
        <v>8631762</v>
      </c>
      <c r="JF18" s="99">
        <v>4947084</v>
      </c>
      <c r="JG18" s="99">
        <v>4914361</v>
      </c>
      <c r="JH18" s="98">
        <v>1619358</v>
      </c>
      <c r="JI18" s="98">
        <v>2800050</v>
      </c>
      <c r="JJ18" s="99">
        <v>1687661</v>
      </c>
      <c r="JK18" s="98">
        <v>1599869</v>
      </c>
      <c r="JL18" s="98">
        <v>1208830</v>
      </c>
      <c r="JM18" s="98">
        <v>1147125</v>
      </c>
      <c r="JN18" s="98">
        <v>844810</v>
      </c>
      <c r="JO18" s="98">
        <v>0</v>
      </c>
      <c r="JP18" s="98">
        <v>0</v>
      </c>
      <c r="JQ18" s="98">
        <v>0</v>
      </c>
      <c r="JR18" s="98">
        <v>946159</v>
      </c>
      <c r="JS18" s="98">
        <v>971164</v>
      </c>
      <c r="JT18" s="98">
        <v>2654829</v>
      </c>
      <c r="JU18" s="98">
        <v>2539990</v>
      </c>
      <c r="JV18" s="98">
        <v>1560489</v>
      </c>
      <c r="JW18" s="98">
        <v>1666527</v>
      </c>
      <c r="JX18" s="98">
        <v>0</v>
      </c>
      <c r="JY18" s="98">
        <v>0</v>
      </c>
      <c r="JZ18" s="98">
        <v>792593</v>
      </c>
      <c r="KA18" s="98">
        <v>940932</v>
      </c>
      <c r="KB18" s="98">
        <v>2820436</v>
      </c>
      <c r="KC18" s="99">
        <v>3061110</v>
      </c>
      <c r="KD18" s="98">
        <v>888024</v>
      </c>
      <c r="KE18" s="98">
        <v>1018630</v>
      </c>
      <c r="KF18" s="98">
        <v>2101123</v>
      </c>
      <c r="KG18" s="98">
        <v>2134954</v>
      </c>
      <c r="KH18" s="98">
        <v>2432550</v>
      </c>
      <c r="KI18" s="98">
        <v>0</v>
      </c>
      <c r="KJ18" s="98">
        <v>351059</v>
      </c>
      <c r="KK18" s="98">
        <v>620262</v>
      </c>
      <c r="KL18" s="98">
        <v>581005</v>
      </c>
      <c r="KM18" s="98">
        <v>557061</v>
      </c>
      <c r="KN18" s="98">
        <v>2459965</v>
      </c>
      <c r="KO18" s="98">
        <v>2414887</v>
      </c>
      <c r="KP18" s="98">
        <v>1726851</v>
      </c>
      <c r="KQ18" s="98">
        <v>0</v>
      </c>
      <c r="KR18" s="98">
        <v>6335912</v>
      </c>
      <c r="KS18" s="98">
        <v>7381159</v>
      </c>
      <c r="KT18" s="98">
        <v>3930306</v>
      </c>
      <c r="KU18" s="98">
        <v>5693052</v>
      </c>
      <c r="KV18" s="98">
        <v>884250</v>
      </c>
      <c r="KW18" s="98">
        <v>0</v>
      </c>
      <c r="KX18" s="98">
        <v>676066</v>
      </c>
      <c r="KY18" s="98">
        <v>0</v>
      </c>
      <c r="KZ18" s="98">
        <v>3396162</v>
      </c>
      <c r="LA18" s="98">
        <v>2849028</v>
      </c>
      <c r="LB18" s="98">
        <v>498812</v>
      </c>
      <c r="LC18" s="98">
        <v>508674</v>
      </c>
      <c r="LD18" s="98">
        <v>1980507</v>
      </c>
      <c r="LE18" s="98">
        <v>2315656</v>
      </c>
      <c r="LF18" s="98">
        <v>114378448</v>
      </c>
      <c r="LG18" s="98">
        <v>107153570</v>
      </c>
      <c r="LH18" s="98">
        <v>3282505</v>
      </c>
      <c r="LI18" s="98">
        <v>3783108</v>
      </c>
      <c r="LJ18" s="98">
        <v>1254074</v>
      </c>
      <c r="LK18" s="98">
        <v>1400893</v>
      </c>
      <c r="LL18" s="98">
        <v>11424032</v>
      </c>
      <c r="LM18" s="98">
        <v>7477474</v>
      </c>
      <c r="LN18" s="98">
        <v>87480094</v>
      </c>
      <c r="LO18" s="98">
        <v>78946120</v>
      </c>
      <c r="LP18" s="98">
        <v>5749555</v>
      </c>
      <c r="LQ18" s="98">
        <v>5258517</v>
      </c>
      <c r="LR18" s="98">
        <v>31548146</v>
      </c>
      <c r="LS18" s="98">
        <v>41612000</v>
      </c>
      <c r="LT18" s="98">
        <v>1218744</v>
      </c>
      <c r="LU18" s="98">
        <v>925069</v>
      </c>
      <c r="LV18" s="98">
        <v>1756489</v>
      </c>
      <c r="LW18" s="98">
        <v>1567953</v>
      </c>
      <c r="LX18" s="98">
        <v>7536056</v>
      </c>
      <c r="LY18" s="98">
        <v>9081193</v>
      </c>
      <c r="LZ18" s="98">
        <v>0</v>
      </c>
      <c r="MA18" s="98">
        <v>0</v>
      </c>
      <c r="MB18" s="98">
        <v>1089910</v>
      </c>
      <c r="MC18" s="98">
        <v>1010371</v>
      </c>
      <c r="MD18" s="98">
        <v>10122369</v>
      </c>
      <c r="ME18" s="98">
        <v>6938247</v>
      </c>
      <c r="MF18" s="98">
        <v>8201920</v>
      </c>
      <c r="MG18" s="98">
        <v>10983043</v>
      </c>
      <c r="MH18" s="98">
        <v>2267848</v>
      </c>
      <c r="MI18" s="98">
        <v>2738013</v>
      </c>
      <c r="MJ18" s="98">
        <v>13997226</v>
      </c>
      <c r="MK18" s="98">
        <v>15976407</v>
      </c>
      <c r="ML18" s="98">
        <v>8983035</v>
      </c>
      <c r="MM18" s="98">
        <v>10258928</v>
      </c>
      <c r="MN18" s="98">
        <v>509252</v>
      </c>
      <c r="MO18" s="98">
        <v>638996</v>
      </c>
      <c r="MP18" s="98">
        <v>6130176</v>
      </c>
      <c r="MQ18" s="98">
        <v>14107214</v>
      </c>
      <c r="MR18" s="98">
        <v>2539378</v>
      </c>
      <c r="MS18" s="98">
        <v>3984270</v>
      </c>
      <c r="MT18" s="98">
        <v>1077002</v>
      </c>
      <c r="MU18" s="98">
        <v>1077002</v>
      </c>
      <c r="MV18" s="98">
        <v>267498</v>
      </c>
      <c r="MW18" s="98">
        <v>285011</v>
      </c>
      <c r="MX18" s="98">
        <v>403377</v>
      </c>
      <c r="MY18" s="98">
        <v>241831</v>
      </c>
      <c r="MZ18" s="98">
        <v>1179569</v>
      </c>
      <c r="NA18" s="98">
        <v>1367069</v>
      </c>
      <c r="NB18" s="98">
        <v>13347617</v>
      </c>
      <c r="NC18" s="98">
        <v>14006240</v>
      </c>
      <c r="ND18" s="98">
        <v>415231025</v>
      </c>
      <c r="NE18" s="98">
        <v>430085360</v>
      </c>
      <c r="NF18" s="98">
        <v>1869634</v>
      </c>
      <c r="NG18" s="98">
        <v>1864587</v>
      </c>
      <c r="NH18" s="759">
        <v>2165031</v>
      </c>
      <c r="NI18" s="759" t="e">
        <f>+NI17+NI13</f>
        <v>#REF!</v>
      </c>
      <c r="NJ18" s="393">
        <f>+NJ17+NJ13</f>
        <v>5782482</v>
      </c>
      <c r="NK18" s="393">
        <f>+NK17+NK13</f>
        <v>10426286</v>
      </c>
      <c r="NL18" s="393">
        <v>4914361</v>
      </c>
      <c r="NM18" s="393" t="e">
        <f>+NM17+NM13</f>
        <v>#REF!</v>
      </c>
      <c r="NN18" s="759" t="e">
        <f>+NN17+NN13</f>
        <v>#REF!</v>
      </c>
      <c r="NO18" s="759" t="e">
        <f>+NO17+NO13</f>
        <v>#REF!</v>
      </c>
      <c r="NP18" s="393">
        <v>1599869</v>
      </c>
      <c r="NQ18" s="759" t="e">
        <f>+NQ17+NQ13</f>
        <v>#REF!</v>
      </c>
      <c r="NR18" s="759">
        <v>1147125</v>
      </c>
      <c r="NS18" s="759">
        <f>+NS17+NS13</f>
        <v>712463</v>
      </c>
      <c r="NT18" s="759">
        <v>844810</v>
      </c>
      <c r="NU18" s="759">
        <f>+NU17+NU13</f>
        <v>0</v>
      </c>
      <c r="NV18" s="759">
        <f>+NV17+NV13</f>
        <v>0</v>
      </c>
      <c r="NW18" s="759">
        <f>+NW17+NW13</f>
        <v>0</v>
      </c>
      <c r="NX18" s="759">
        <f>+NX17+NX13</f>
        <v>700549</v>
      </c>
      <c r="NY18" s="759">
        <f>+NY17+NY13</f>
        <v>711717</v>
      </c>
      <c r="NZ18" s="759">
        <f>+NZ17+NZ13</f>
        <v>2439898</v>
      </c>
      <c r="OA18" s="759">
        <f>+OA17+OA13</f>
        <v>2514693</v>
      </c>
      <c r="OB18" s="759">
        <v>1666527</v>
      </c>
      <c r="OC18" s="759">
        <f>+OC17+OC13</f>
        <v>1485958</v>
      </c>
      <c r="OD18" s="759">
        <f>+OD17+OD13</f>
        <v>0</v>
      </c>
      <c r="OE18" s="759">
        <f>+OE17+OE13</f>
        <v>0</v>
      </c>
      <c r="OF18" s="759">
        <f>+OF17+OF13</f>
        <v>1043977</v>
      </c>
      <c r="OG18" s="759">
        <f>+OG17+OG13</f>
        <v>1058614</v>
      </c>
      <c r="OH18" s="759">
        <v>3061110</v>
      </c>
      <c r="OI18" s="393">
        <f>+OI17+OI13</f>
        <v>2811067</v>
      </c>
      <c r="OJ18" s="759">
        <v>1018630</v>
      </c>
      <c r="OK18" s="759">
        <f>+OK17+OK13</f>
        <v>952021</v>
      </c>
      <c r="OL18" s="759">
        <f>+OL17+OL13</f>
        <v>1920448</v>
      </c>
      <c r="OM18" s="759">
        <f>+OM17+OM13</f>
        <v>3304112</v>
      </c>
      <c r="ON18" s="759">
        <f>+ON17+ON13</f>
        <v>0</v>
      </c>
      <c r="OO18" s="759">
        <f>+OO17+OO13</f>
        <v>1194549</v>
      </c>
      <c r="OP18" s="759">
        <v>620262</v>
      </c>
      <c r="OQ18" s="759">
        <f>+OQ17+OQ13</f>
        <v>417677</v>
      </c>
      <c r="OR18" s="759">
        <v>557061</v>
      </c>
      <c r="OS18" s="759">
        <f>+OS17+OS13</f>
        <v>0</v>
      </c>
      <c r="OT18" s="759">
        <v>2414887</v>
      </c>
      <c r="OU18" s="759">
        <f>+OU17+OU13</f>
        <v>1559066</v>
      </c>
      <c r="OV18" s="759">
        <f>+OV17+OV13</f>
        <v>0</v>
      </c>
      <c r="OW18" s="759">
        <f>+OW17+OW13</f>
        <v>1116349</v>
      </c>
      <c r="OX18" s="759">
        <v>7381159</v>
      </c>
      <c r="OY18" s="759">
        <f>+OY17+OY13</f>
        <v>10689430</v>
      </c>
      <c r="OZ18" s="759">
        <v>5693052</v>
      </c>
      <c r="PA18" s="759">
        <f>+PA17+PA13</f>
        <v>1324055</v>
      </c>
      <c r="PB18" s="759">
        <f>+PB17+PB13</f>
        <v>922934</v>
      </c>
      <c r="PC18" s="759">
        <f>+PC17+PC13</f>
        <v>918350</v>
      </c>
      <c r="PD18" s="759">
        <f>+PD13+PD17</f>
        <v>0</v>
      </c>
      <c r="PE18" s="759">
        <f>+PE13+PE17</f>
        <v>0</v>
      </c>
      <c r="PF18" s="759">
        <v>2849028</v>
      </c>
      <c r="PG18" s="759">
        <f>+PG17+PG13</f>
        <v>2062551</v>
      </c>
      <c r="PH18" s="759">
        <v>508674</v>
      </c>
      <c r="PI18" s="759">
        <f>+PI17+PI13</f>
        <v>0</v>
      </c>
      <c r="PJ18" s="759">
        <v>2315656</v>
      </c>
      <c r="PK18" s="759">
        <f>+PK17+PK13</f>
        <v>3617442</v>
      </c>
      <c r="PL18" s="759" t="e">
        <f>+PL17+PL13</f>
        <v>#REF!</v>
      </c>
      <c r="PM18" s="759" t="e">
        <f>+PM17+PM13</f>
        <v>#REF!</v>
      </c>
      <c r="PN18" s="759" t="e">
        <f>+PN17+PN13</f>
        <v>#REF!</v>
      </c>
      <c r="PO18" s="759" t="e">
        <f>+PO17+PO13</f>
        <v>#REF!</v>
      </c>
      <c r="PP18" s="759">
        <f>+PP17+PP13</f>
        <v>1668046</v>
      </c>
      <c r="PQ18" s="759">
        <f>+PQ17+PQ13</f>
        <v>1635227</v>
      </c>
      <c r="PR18" s="759">
        <v>7477474</v>
      </c>
      <c r="PS18" s="759">
        <f>+PS17+PS13</f>
        <v>4608227</v>
      </c>
      <c r="PT18" s="759">
        <f>+PT17+PT13</f>
        <v>40038357</v>
      </c>
      <c r="PU18" s="759">
        <f>+PU17+PU13</f>
        <v>47148856</v>
      </c>
      <c r="PV18" s="759">
        <f>+PV17+PV13</f>
        <v>5640367</v>
      </c>
      <c r="PW18" s="759">
        <f>+PW17+PW13</f>
        <v>5568608</v>
      </c>
      <c r="PX18" s="759">
        <f>+PX13+PX17</f>
        <v>54029000</v>
      </c>
      <c r="PY18" s="759">
        <f>+PY13+PY17</f>
        <v>90675000</v>
      </c>
      <c r="PZ18" s="759">
        <v>925069</v>
      </c>
      <c r="QA18" s="759">
        <f>+QA17+QA13</f>
        <v>577846</v>
      </c>
      <c r="QB18" s="759">
        <v>1567953</v>
      </c>
      <c r="QC18" s="759">
        <f>+QC17+QC13</f>
        <v>2274256</v>
      </c>
      <c r="QD18" s="759">
        <v>9081193</v>
      </c>
      <c r="QE18" s="759">
        <f>+QE17+QE13</f>
        <v>10658602</v>
      </c>
      <c r="QF18" s="759">
        <f>+QF17+QF13</f>
        <v>0</v>
      </c>
      <c r="QG18" s="759">
        <f>+QG17+QG13</f>
        <v>0</v>
      </c>
      <c r="QH18" s="759">
        <v>1010371</v>
      </c>
      <c r="QI18" s="759">
        <f>+QI17+QI13</f>
        <v>2297683</v>
      </c>
      <c r="QJ18" s="759">
        <v>6938247</v>
      </c>
      <c r="QK18" s="759">
        <f>+QK17+QK13</f>
        <v>8288659</v>
      </c>
      <c r="QL18" s="759">
        <v>10983043</v>
      </c>
      <c r="QM18" s="759">
        <f>+QM17+QM13</f>
        <v>12093648</v>
      </c>
      <c r="QN18" s="759">
        <f>+QN17+QN13</f>
        <v>1563901</v>
      </c>
      <c r="QO18" s="759">
        <f>+QO17+QO13</f>
        <v>1934027</v>
      </c>
      <c r="QP18" s="759">
        <v>15976407</v>
      </c>
      <c r="QQ18" s="759">
        <f>+QQ17+QQ13</f>
        <v>16868402</v>
      </c>
      <c r="QR18" s="759">
        <v>10258928</v>
      </c>
      <c r="QS18" s="759">
        <f>+QS17+QS13</f>
        <v>5557206</v>
      </c>
      <c r="QT18" s="759">
        <v>638996</v>
      </c>
      <c r="QU18" s="759">
        <f>+QU17+QU13</f>
        <v>596103</v>
      </c>
      <c r="QV18" s="759">
        <f>+QV17+QV13</f>
        <v>5712455</v>
      </c>
      <c r="QW18" s="759">
        <f>+QW17+QW13</f>
        <v>14157753</v>
      </c>
      <c r="QX18" s="759">
        <f>+QX17+QX13</f>
        <v>3338573</v>
      </c>
      <c r="QY18" s="759">
        <f>+QY17+QY13</f>
        <v>2736408</v>
      </c>
      <c r="QZ18" s="759">
        <f>+QZ17+QZ13</f>
        <v>993809</v>
      </c>
      <c r="RA18" s="759">
        <f>+RA17+RA13</f>
        <v>993809</v>
      </c>
      <c r="RB18" s="759">
        <v>285011</v>
      </c>
      <c r="RC18" s="759">
        <f>+RC17+RC13</f>
        <v>380181</v>
      </c>
      <c r="RD18" s="759">
        <f>+RD17+RD13</f>
        <v>277367</v>
      </c>
      <c r="RE18" s="759">
        <f>+RE17+RE13</f>
        <v>248324</v>
      </c>
      <c r="RF18" s="759">
        <v>1367069</v>
      </c>
      <c r="RG18" s="759">
        <f>+RG17+RG13</f>
        <v>0</v>
      </c>
      <c r="RH18" s="759">
        <f>+RH17+RH13</f>
        <v>14003738</v>
      </c>
      <c r="RI18" s="759">
        <f>+RI17+RI13</f>
        <v>13735848</v>
      </c>
      <c r="RJ18" s="759">
        <f>+RJ17+RJ13</f>
        <v>331089176</v>
      </c>
      <c r="RK18" s="759">
        <f>+RK17+RK13</f>
        <v>360637813</v>
      </c>
      <c r="RL18" s="759">
        <v>1864587</v>
      </c>
      <c r="RM18" s="759">
        <f>+RM17+RM13</f>
        <v>1914075</v>
      </c>
      <c r="RN18" s="98">
        <v>1497563</v>
      </c>
      <c r="RO18" s="98">
        <v>1557336</v>
      </c>
      <c r="RP18" s="98">
        <v>10326005</v>
      </c>
      <c r="RQ18" s="98">
        <v>8547678</v>
      </c>
      <c r="RR18" s="99">
        <v>4567476</v>
      </c>
      <c r="RS18" s="98">
        <v>4489442</v>
      </c>
      <c r="RT18" s="98">
        <v>2455750</v>
      </c>
      <c r="RU18" s="98">
        <v>2013414</v>
      </c>
      <c r="RV18" s="98">
        <v>1672324</v>
      </c>
      <c r="RW18" s="98">
        <v>1703930</v>
      </c>
      <c r="RX18" s="98">
        <v>1284007</v>
      </c>
      <c r="RY18" s="98">
        <v>1302359</v>
      </c>
      <c r="RZ18" s="98">
        <v>0</v>
      </c>
      <c r="SA18" s="98">
        <v>0</v>
      </c>
      <c r="SB18" s="98">
        <v>0</v>
      </c>
      <c r="SC18" s="98">
        <v>0</v>
      </c>
      <c r="SD18" s="98">
        <v>1014640</v>
      </c>
      <c r="SE18" s="98">
        <v>716787</v>
      </c>
      <c r="SF18" s="98">
        <v>2755764</v>
      </c>
      <c r="SG18" s="98">
        <v>2738730</v>
      </c>
      <c r="SH18" s="98">
        <v>1854548</v>
      </c>
      <c r="SI18" s="98">
        <v>1919896</v>
      </c>
      <c r="SJ18" s="98">
        <v>0</v>
      </c>
      <c r="SK18" s="98">
        <v>0</v>
      </c>
      <c r="SL18" s="98">
        <v>990328</v>
      </c>
      <c r="SM18" s="98">
        <v>1090902</v>
      </c>
      <c r="SN18" s="99">
        <v>2976847</v>
      </c>
      <c r="SO18" s="98">
        <v>2519797</v>
      </c>
      <c r="SP18" s="98">
        <v>1030628</v>
      </c>
      <c r="SQ18" s="98">
        <v>1146193</v>
      </c>
      <c r="SR18" s="98">
        <v>4131717</v>
      </c>
      <c r="SS18" s="98">
        <v>4695179</v>
      </c>
      <c r="ST18" s="98">
        <v>2068693</v>
      </c>
      <c r="SU18" s="98"/>
      <c r="SV18" s="98">
        <v>523253</v>
      </c>
      <c r="SW18" s="98">
        <v>579107</v>
      </c>
      <c r="SX18" s="98">
        <v>537472</v>
      </c>
      <c r="SY18" s="98">
        <v>1545366</v>
      </c>
      <c r="SZ18" s="98">
        <v>2692635</v>
      </c>
      <c r="TA18" s="98">
        <v>3334308</v>
      </c>
      <c r="TB18" s="98">
        <v>1721320</v>
      </c>
      <c r="TC18" s="98">
        <v>0</v>
      </c>
      <c r="TD18" s="98">
        <v>17970396</v>
      </c>
      <c r="TE18" s="98">
        <v>20048914</v>
      </c>
      <c r="TF18" s="98">
        <v>1444529</v>
      </c>
      <c r="TG18" s="98">
        <v>1331062</v>
      </c>
      <c r="TH18" s="98">
        <v>897816</v>
      </c>
      <c r="TI18" s="98">
        <v>929192</v>
      </c>
      <c r="TJ18" s="98">
        <v>0</v>
      </c>
      <c r="TK18" s="98">
        <v>0</v>
      </c>
      <c r="TL18" s="98">
        <v>2207727</v>
      </c>
      <c r="TM18" s="98">
        <v>2504847</v>
      </c>
      <c r="TN18" s="98">
        <v>0</v>
      </c>
      <c r="TO18" s="98">
        <v>651508</v>
      </c>
      <c r="TP18" s="98">
        <v>3422439</v>
      </c>
      <c r="TQ18" s="98">
        <v>3270643</v>
      </c>
      <c r="TR18" s="98">
        <v>141998207</v>
      </c>
      <c r="TS18" s="98">
        <v>130172342</v>
      </c>
      <c r="TT18" s="98">
        <v>4281018</v>
      </c>
      <c r="TU18" s="98">
        <v>3827196</v>
      </c>
      <c r="TV18" s="98">
        <v>1360009000</v>
      </c>
      <c r="TW18" s="98">
        <v>1290733000</v>
      </c>
      <c r="TX18" s="98">
        <v>7592490</v>
      </c>
      <c r="TY18" s="98">
        <v>7960850</v>
      </c>
      <c r="TZ18" s="98">
        <v>88513666</v>
      </c>
      <c r="UA18" s="98">
        <v>100301759</v>
      </c>
      <c r="UB18" s="98">
        <v>5258517</v>
      </c>
      <c r="UC18" s="98">
        <v>0</v>
      </c>
      <c r="UD18" s="98">
        <v>76730000</v>
      </c>
      <c r="UE18" s="98">
        <v>78370000</v>
      </c>
      <c r="UF18" s="98">
        <v>936568</v>
      </c>
      <c r="UG18" s="98">
        <v>2419727</v>
      </c>
      <c r="UH18" s="98">
        <v>2826133</v>
      </c>
      <c r="UI18" s="98">
        <v>3228750</v>
      </c>
      <c r="UJ18" s="98">
        <v>12457108</v>
      </c>
      <c r="UK18" s="98">
        <v>11648774</v>
      </c>
      <c r="UL18" s="98">
        <v>0</v>
      </c>
      <c r="UM18" s="98">
        <v>0</v>
      </c>
      <c r="UN18" s="98">
        <v>1042129</v>
      </c>
      <c r="UO18" s="98">
        <v>1065471</v>
      </c>
      <c r="UP18" s="98">
        <v>5379814</v>
      </c>
      <c r="UQ18" s="98">
        <v>4735294</v>
      </c>
      <c r="UR18" s="98">
        <v>12713253</v>
      </c>
      <c r="US18" s="98">
        <v>21223386</v>
      </c>
      <c r="UT18" s="98">
        <v>2738013</v>
      </c>
      <c r="UU18" s="98">
        <v>0</v>
      </c>
      <c r="UV18" s="98">
        <v>17561015</v>
      </c>
      <c r="UW18" s="98">
        <v>18678540</v>
      </c>
      <c r="UX18" s="98">
        <v>13702607</v>
      </c>
      <c r="UY18" s="98">
        <v>12251087</v>
      </c>
      <c r="UZ18" s="98">
        <v>819664</v>
      </c>
      <c r="VA18" s="98">
        <v>851930</v>
      </c>
      <c r="VB18" s="98">
        <v>11679955</v>
      </c>
      <c r="VC18" s="98">
        <v>13110196</v>
      </c>
      <c r="VD18" s="98">
        <v>5270570</v>
      </c>
      <c r="VE18" s="98">
        <v>6145622</v>
      </c>
      <c r="VF18" s="98">
        <v>1077002</v>
      </c>
      <c r="VG18" s="98">
        <v>0</v>
      </c>
      <c r="VH18" s="98">
        <v>313805</v>
      </c>
      <c r="VI18" s="98">
        <v>321901</v>
      </c>
      <c r="VJ18" s="98">
        <v>233915</v>
      </c>
      <c r="VK18" s="98">
        <v>239971</v>
      </c>
      <c r="VL18" s="98">
        <v>0</v>
      </c>
      <c r="VM18" s="98">
        <v>1808206</v>
      </c>
      <c r="VN18" s="98">
        <v>14006240</v>
      </c>
      <c r="VO18" s="98">
        <v>0</v>
      </c>
      <c r="VP18" s="98">
        <v>345003950</v>
      </c>
      <c r="VQ18" s="98">
        <v>357773215</v>
      </c>
      <c r="VR18" s="98">
        <v>2005715</v>
      </c>
      <c r="VS18" s="98">
        <v>2240607</v>
      </c>
      <c r="VT18" s="98">
        <v>1557336</v>
      </c>
      <c r="VU18" s="98">
        <v>1663938</v>
      </c>
      <c r="VV18" s="98">
        <v>8679608</v>
      </c>
      <c r="VW18" s="98">
        <v>9223024</v>
      </c>
      <c r="VX18" s="99">
        <v>4489442</v>
      </c>
      <c r="VY18" s="98">
        <v>4605168</v>
      </c>
      <c r="VZ18" s="98">
        <v>2013414</v>
      </c>
      <c r="WA18" s="98">
        <v>1743211</v>
      </c>
      <c r="WB18" s="98">
        <v>1703930</v>
      </c>
      <c r="WC18" s="98">
        <v>2283279</v>
      </c>
      <c r="WD18" s="98">
        <v>1302359</v>
      </c>
      <c r="WE18" s="98">
        <v>1068473</v>
      </c>
      <c r="WF18" s="98">
        <v>0</v>
      </c>
      <c r="WG18" s="98">
        <v>0</v>
      </c>
      <c r="WH18" s="98">
        <v>0</v>
      </c>
      <c r="WI18" s="98">
        <v>0</v>
      </c>
      <c r="WJ18" s="98">
        <v>716787</v>
      </c>
      <c r="WK18" s="98">
        <v>647783</v>
      </c>
      <c r="WL18" s="98">
        <v>1236686</v>
      </c>
      <c r="WM18" s="98">
        <v>1169755</v>
      </c>
      <c r="WN18" s="98">
        <v>1919896</v>
      </c>
      <c r="WO18" s="98">
        <v>2499661</v>
      </c>
      <c r="WP18" s="98">
        <v>0</v>
      </c>
      <c r="WQ18" s="98">
        <v>0</v>
      </c>
      <c r="WR18" s="98">
        <v>1000958</v>
      </c>
      <c r="WS18" s="98">
        <v>1209017</v>
      </c>
      <c r="WT18" s="99">
        <v>2519797</v>
      </c>
      <c r="WU18" s="98">
        <v>1770085</v>
      </c>
      <c r="WV18" s="98">
        <v>1146193</v>
      </c>
      <c r="WW18" s="98">
        <v>1129994</v>
      </c>
      <c r="WX18" s="98">
        <v>4695179</v>
      </c>
      <c r="WY18" s="98">
        <v>4295322</v>
      </c>
      <c r="WZ18" s="98">
        <v>0</v>
      </c>
      <c r="XA18" s="98">
        <v>1865584</v>
      </c>
      <c r="XB18" s="98">
        <v>579107</v>
      </c>
      <c r="XC18" s="98">
        <v>618056</v>
      </c>
      <c r="XD18" s="98">
        <v>1725831</v>
      </c>
      <c r="XE18" s="98">
        <v>2561145</v>
      </c>
      <c r="XF18" s="98">
        <v>3334308</v>
      </c>
      <c r="XG18" s="98">
        <v>3553167</v>
      </c>
      <c r="XH18" s="98">
        <v>1450820</v>
      </c>
      <c r="XI18" s="98">
        <v>1074463</v>
      </c>
      <c r="XJ18" s="98">
        <v>20048914</v>
      </c>
      <c r="XK18" s="98">
        <v>21592450</v>
      </c>
      <c r="XL18" s="98">
        <v>1331062</v>
      </c>
      <c r="XM18" s="98">
        <v>1295489</v>
      </c>
      <c r="XN18" s="98">
        <v>858702</v>
      </c>
      <c r="XO18" s="98">
        <v>783718</v>
      </c>
      <c r="XP18" s="98">
        <v>0</v>
      </c>
      <c r="XQ18" s="98">
        <v>0</v>
      </c>
      <c r="XR18" s="98">
        <v>2504847</v>
      </c>
      <c r="XS18" s="98">
        <v>2543552</v>
      </c>
      <c r="XT18" s="98">
        <v>651508</v>
      </c>
      <c r="XU18" s="98">
        <v>42541</v>
      </c>
      <c r="XV18" s="98">
        <v>3319565</v>
      </c>
      <c r="XW18" s="98">
        <v>3301011</v>
      </c>
      <c r="XX18" s="98">
        <v>130172342</v>
      </c>
      <c r="XY18" s="98">
        <v>117016155</v>
      </c>
      <c r="XZ18" s="98">
        <v>4958229</v>
      </c>
      <c r="YA18" s="98">
        <v>6544463</v>
      </c>
      <c r="YB18" s="98">
        <v>1290733</v>
      </c>
      <c r="YC18" s="98">
        <v>1435861</v>
      </c>
      <c r="YD18" s="98">
        <v>8497089</v>
      </c>
      <c r="YE18" s="98">
        <v>8718980</v>
      </c>
      <c r="YF18" s="98">
        <v>100301759</v>
      </c>
      <c r="YG18" s="98">
        <v>89210115</v>
      </c>
      <c r="YH18" s="98">
        <v>0</v>
      </c>
      <c r="YI18" s="98">
        <v>0</v>
      </c>
      <c r="YJ18" s="98">
        <v>78370000</v>
      </c>
      <c r="YK18" s="98">
        <v>0</v>
      </c>
      <c r="YL18" s="98">
        <v>2055638747</v>
      </c>
      <c r="YM18" s="98">
        <v>2652428303</v>
      </c>
      <c r="YN18" s="98">
        <v>3228750</v>
      </c>
      <c r="YO18" s="98">
        <v>3155632</v>
      </c>
      <c r="YP18" s="98">
        <v>11648774</v>
      </c>
      <c r="YQ18" s="98">
        <v>10534031</v>
      </c>
      <c r="YR18" s="98">
        <v>0</v>
      </c>
      <c r="YS18" s="98">
        <v>0</v>
      </c>
      <c r="YT18" s="98">
        <v>1065471</v>
      </c>
      <c r="YU18" s="98">
        <v>1017781</v>
      </c>
      <c r="YV18" s="98">
        <v>4735294</v>
      </c>
      <c r="YW18" s="98">
        <v>4152137</v>
      </c>
      <c r="YX18" s="98">
        <v>21223386</v>
      </c>
      <c r="YY18" s="98">
        <v>26480399</v>
      </c>
      <c r="YZ18" s="98">
        <v>2219879</v>
      </c>
      <c r="ZA18" s="98">
        <v>2333249</v>
      </c>
      <c r="ZB18" s="98">
        <v>18678540</v>
      </c>
      <c r="ZC18" s="98">
        <v>18416352</v>
      </c>
      <c r="ZD18" s="98">
        <v>12251087</v>
      </c>
      <c r="ZE18" s="98">
        <v>11249865</v>
      </c>
      <c r="ZF18" s="98">
        <v>851930</v>
      </c>
      <c r="ZG18" s="98">
        <v>894165</v>
      </c>
      <c r="ZH18" s="98">
        <v>13110196</v>
      </c>
      <c r="ZI18" s="98">
        <v>15777584</v>
      </c>
      <c r="ZJ18" s="98">
        <v>6145622</v>
      </c>
      <c r="ZK18" s="98">
        <v>5670935</v>
      </c>
      <c r="ZL18" s="98">
        <v>0</v>
      </c>
      <c r="ZM18" s="98">
        <v>0</v>
      </c>
      <c r="ZN18" s="98">
        <v>321901</v>
      </c>
      <c r="ZO18" s="98">
        <v>327690</v>
      </c>
      <c r="ZP18" s="98">
        <v>239971</v>
      </c>
      <c r="ZQ18" s="98">
        <v>0</v>
      </c>
      <c r="ZR18" s="98">
        <v>1808206</v>
      </c>
      <c r="ZS18" s="98">
        <v>1801511</v>
      </c>
      <c r="ZT18" s="98">
        <v>0</v>
      </c>
      <c r="ZU18" s="98">
        <v>0</v>
      </c>
      <c r="ZV18" s="98">
        <v>357773215</v>
      </c>
      <c r="ZW18" s="98">
        <v>354880770</v>
      </c>
      <c r="ZX18" s="98">
        <v>2230389</v>
      </c>
      <c r="ZY18" s="98">
        <v>2195857</v>
      </c>
      <c r="ZZ18" s="605"/>
      <c r="AAA18" s="605"/>
      <c r="AAB18" s="605"/>
      <c r="AAC18" s="605"/>
      <c r="AAD18" s="605"/>
      <c r="AAE18" s="605"/>
      <c r="AAF18" s="605"/>
      <c r="AAG18" s="605"/>
      <c r="AAH18" s="605"/>
      <c r="AAI18" s="605"/>
      <c r="AAJ18" s="605"/>
      <c r="AAK18" s="605"/>
      <c r="AAL18" s="605"/>
      <c r="AAM18" s="605"/>
      <c r="AAN18" s="605"/>
      <c r="AAO18" s="605"/>
      <c r="AAP18" s="605"/>
      <c r="AAQ18" s="605"/>
      <c r="AAR18" s="605"/>
      <c r="AAS18" s="605"/>
      <c r="AAT18" s="605"/>
      <c r="AAU18" s="605"/>
      <c r="AAV18" s="605"/>
      <c r="AAW18" s="605"/>
      <c r="AAX18" s="605"/>
      <c r="AAY18" s="605"/>
      <c r="AAZ18" s="605"/>
      <c r="ABA18" s="605"/>
      <c r="ABB18" s="605"/>
      <c r="ABC18" s="605"/>
      <c r="ABD18" s="605"/>
      <c r="ABE18" s="605"/>
      <c r="ABF18" s="605"/>
      <c r="ABG18" s="605"/>
      <c r="ABH18" s="605"/>
      <c r="ABI18" s="605"/>
      <c r="ABJ18" s="605"/>
      <c r="ABK18" s="605"/>
      <c r="ABL18" s="605"/>
      <c r="ABM18" s="605"/>
      <c r="ABN18" s="605"/>
      <c r="ABO18" s="605"/>
      <c r="ABP18" s="605"/>
      <c r="ABQ18" s="605"/>
      <c r="ABR18" s="605"/>
      <c r="ABS18" s="605"/>
      <c r="ABT18" s="605"/>
      <c r="ABU18" s="605"/>
      <c r="ABV18" s="605"/>
      <c r="ABW18" s="605"/>
      <c r="ABX18" s="605"/>
      <c r="ABY18" s="605"/>
      <c r="ABZ18" s="605"/>
      <c r="ACA18" s="605"/>
      <c r="ACB18" s="605"/>
      <c r="ACC18" s="605"/>
      <c r="ACD18" s="605"/>
      <c r="ACE18" s="605"/>
      <c r="ACF18" s="605"/>
      <c r="ACG18" s="605"/>
      <c r="ACH18" s="605"/>
      <c r="ACI18" s="605"/>
      <c r="ACJ18" s="605"/>
      <c r="ACK18" s="605"/>
      <c r="ACL18" s="605"/>
      <c r="ACM18" s="605"/>
      <c r="ACN18" s="605"/>
      <c r="ACO18" s="605"/>
      <c r="ACP18" s="605"/>
      <c r="ACQ18" s="605"/>
      <c r="ACR18" s="605"/>
      <c r="ACS18" s="605"/>
      <c r="ACT18" s="605"/>
      <c r="ACU18" s="605"/>
      <c r="ACV18" s="605"/>
      <c r="ACW18" s="605"/>
      <c r="ACX18" s="605"/>
      <c r="ACY18" s="605"/>
      <c r="ACZ18" s="605"/>
      <c r="ADA18" s="605"/>
      <c r="ADB18" s="605"/>
      <c r="ADC18" s="605"/>
      <c r="ADD18" s="605"/>
      <c r="ADE18" s="605"/>
      <c r="ADF18" s="605"/>
      <c r="ADG18" s="605"/>
      <c r="ADH18" s="605"/>
      <c r="ADI18" s="605"/>
      <c r="ADJ18" s="605"/>
      <c r="ADK18" s="605"/>
      <c r="ADL18" s="605"/>
      <c r="ADM18" s="605"/>
      <c r="ADN18" s="605"/>
      <c r="ADO18" s="605"/>
      <c r="ADP18" s="605"/>
      <c r="ADQ18" s="605"/>
      <c r="ADR18" s="605"/>
      <c r="ADS18" s="605"/>
      <c r="ADT18" s="605"/>
      <c r="ADU18" s="605"/>
      <c r="ADV18" s="605"/>
      <c r="ADW18" s="605"/>
      <c r="ADX18" s="605"/>
      <c r="ADY18" s="605"/>
      <c r="ADZ18" s="605"/>
      <c r="AEA18" s="605"/>
      <c r="AEB18" s="605"/>
      <c r="AEC18" s="605"/>
      <c r="AED18" s="605"/>
      <c r="AEE18" s="605"/>
      <c r="AEF18" s="605"/>
      <c r="AEG18" s="605"/>
      <c r="AEH18" s="605"/>
      <c r="AEI18" s="605"/>
      <c r="AEJ18" s="605"/>
      <c r="AEK18" s="605"/>
      <c r="AEL18" s="605"/>
      <c r="AEM18" s="605"/>
      <c r="AEN18" s="605"/>
      <c r="AEO18" s="605"/>
      <c r="AEP18" s="605"/>
      <c r="AEQ18" s="605"/>
      <c r="AER18" s="605"/>
      <c r="AES18" s="605"/>
      <c r="AET18" s="605"/>
      <c r="AEU18" s="605"/>
      <c r="AEV18" s="605"/>
      <c r="AEW18" s="605"/>
      <c r="AEX18" s="605"/>
      <c r="AEY18" s="605"/>
      <c r="AEZ18" s="605"/>
      <c r="AFA18" s="605"/>
      <c r="AFB18" s="605"/>
      <c r="AFC18" s="605"/>
      <c r="AFD18" s="605"/>
      <c r="AFE18" s="605"/>
      <c r="AFF18" s="605"/>
      <c r="AFG18" s="605"/>
      <c r="AFH18" s="605"/>
      <c r="AFI18" s="605"/>
      <c r="AFJ18" s="605"/>
      <c r="AFK18" s="605"/>
      <c r="AFL18" s="605"/>
      <c r="AFM18" s="605"/>
      <c r="AFN18" s="605"/>
      <c r="AFO18" s="605"/>
      <c r="AFP18" s="605"/>
      <c r="AFQ18" s="605"/>
      <c r="AFR18" s="605"/>
      <c r="AFS18" s="605"/>
      <c r="AFT18" s="605"/>
      <c r="AFU18" s="605"/>
      <c r="AFV18" s="605"/>
      <c r="AFW18" s="605"/>
      <c r="AFX18" s="605"/>
      <c r="AFY18" s="605"/>
      <c r="AFZ18" s="605"/>
      <c r="AGA18" s="605"/>
      <c r="AGB18" s="605"/>
      <c r="AGC18" s="605"/>
      <c r="AGD18" s="605"/>
      <c r="AGE18" s="605"/>
      <c r="AGF18" s="605"/>
      <c r="AGG18" s="605"/>
      <c r="AGH18" s="605"/>
      <c r="AGI18" s="605"/>
      <c r="AGJ18" s="605"/>
      <c r="AGK18" s="605"/>
      <c r="AGL18" s="605"/>
      <c r="AGM18" s="605"/>
      <c r="AGN18" s="605"/>
      <c r="AGO18" s="605"/>
      <c r="AGP18" s="605"/>
      <c r="AGQ18" s="605"/>
      <c r="AGR18" s="605"/>
      <c r="AGS18" s="605"/>
      <c r="AGT18" s="605"/>
      <c r="AGU18" s="605"/>
      <c r="AGV18" s="605"/>
      <c r="AGW18" s="605"/>
      <c r="AGX18" s="605"/>
      <c r="AGY18" s="605"/>
      <c r="AGZ18" s="605"/>
      <c r="AHA18" s="605"/>
      <c r="AHB18" s="605"/>
      <c r="AHC18" s="605"/>
      <c r="AHD18" s="605"/>
      <c r="AHE18" s="605"/>
      <c r="AHF18" s="605"/>
      <c r="AHG18" s="605"/>
      <c r="AHH18" s="605"/>
      <c r="AHI18" s="605"/>
      <c r="AHJ18" s="605"/>
      <c r="AHK18" s="605"/>
      <c r="AHL18" s="605"/>
      <c r="AHM18" s="605"/>
      <c r="AHN18" s="605"/>
      <c r="AHO18" s="605"/>
      <c r="AHP18" s="605"/>
      <c r="AHQ18" s="605"/>
      <c r="AHR18" s="605"/>
      <c r="AHS18" s="605"/>
      <c r="AHT18" s="605"/>
      <c r="AHU18" s="605"/>
      <c r="AHV18" s="605"/>
      <c r="AHW18" s="605"/>
      <c r="AHX18" s="605"/>
      <c r="AHY18" s="605"/>
      <c r="AHZ18" s="605"/>
      <c r="AIA18" s="605"/>
      <c r="AIB18" s="605"/>
      <c r="AIC18" s="605"/>
      <c r="AID18" s="605"/>
      <c r="AIE18" s="605"/>
      <c r="AIF18" s="605"/>
      <c r="AIG18" s="605"/>
      <c r="AIH18" s="605"/>
      <c r="AII18" s="605"/>
      <c r="AIJ18" s="605"/>
      <c r="AIK18" s="605"/>
      <c r="AIL18" s="605"/>
      <c r="AIM18" s="605"/>
      <c r="AIN18" s="605"/>
      <c r="AIO18" s="605"/>
      <c r="AIP18" s="605"/>
      <c r="AIQ18" s="605"/>
      <c r="AIR18" s="605"/>
      <c r="AIS18" s="605"/>
      <c r="AIT18" s="605"/>
      <c r="AIU18" s="605"/>
      <c r="AIV18" s="605"/>
      <c r="AIW18" s="605"/>
      <c r="AIX18" s="605"/>
      <c r="AIY18" s="605"/>
      <c r="AIZ18" s="605"/>
      <c r="AJA18" s="605"/>
      <c r="AJB18" s="605"/>
      <c r="AJC18" s="605"/>
      <c r="AJD18" s="605"/>
      <c r="AJE18" s="605"/>
      <c r="AJF18" s="605"/>
      <c r="AJG18" s="605"/>
      <c r="AJH18" s="605"/>
      <c r="AJI18" s="605"/>
      <c r="AJJ18" s="605"/>
      <c r="AJK18" s="605"/>
      <c r="AJL18" s="605"/>
      <c r="AJM18" s="605"/>
      <c r="AJN18" s="605"/>
      <c r="AJO18" s="605"/>
    </row>
    <row r="19" spans="1:951" x14ac:dyDescent="0.25">
      <c r="A19" s="90" t="s">
        <v>23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102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  <c r="EU19" s="96"/>
      <c r="EV19" s="96"/>
      <c r="EW19" s="96"/>
      <c r="EX19" s="96"/>
      <c r="EY19" s="96"/>
      <c r="EZ19" s="96"/>
      <c r="FA19" s="96"/>
      <c r="FB19" s="96"/>
      <c r="FC19" s="96"/>
      <c r="FD19" s="96"/>
      <c r="FE19" s="96"/>
      <c r="FF19" s="96"/>
      <c r="FG19" s="96"/>
      <c r="FH19" s="96"/>
      <c r="FI19" s="96"/>
      <c r="FJ19" s="96"/>
      <c r="FK19" s="96"/>
      <c r="FL19" s="96"/>
      <c r="FM19" s="96"/>
      <c r="FN19" s="96"/>
      <c r="FO19" s="96"/>
      <c r="FP19" s="96"/>
      <c r="FQ19" s="96"/>
      <c r="FR19" s="96"/>
      <c r="FS19" s="96"/>
      <c r="FT19" s="96"/>
      <c r="FU19" s="96"/>
      <c r="FV19" s="96"/>
      <c r="FW19" s="96"/>
      <c r="FX19" s="96"/>
      <c r="FY19" s="96"/>
      <c r="FZ19" s="96"/>
      <c r="GA19" s="96"/>
      <c r="GB19" s="96"/>
      <c r="GC19" s="96"/>
      <c r="GD19" s="96"/>
      <c r="GE19" s="96"/>
      <c r="GF19" s="96"/>
      <c r="GG19" s="96"/>
      <c r="GH19" s="96"/>
      <c r="GI19" s="96"/>
      <c r="GJ19" s="96"/>
      <c r="GK19" s="96"/>
      <c r="GL19" s="96"/>
      <c r="GM19" s="96"/>
      <c r="GN19" s="96"/>
      <c r="GO19" s="96"/>
      <c r="GP19" s="96"/>
      <c r="GQ19" s="96"/>
      <c r="GR19" s="96"/>
      <c r="GS19" s="96"/>
      <c r="GT19" s="96"/>
      <c r="GU19" s="96"/>
      <c r="GV19" s="96"/>
      <c r="GW19" s="96"/>
      <c r="GX19" s="96"/>
      <c r="GY19" s="96"/>
      <c r="GZ19" s="96"/>
      <c r="HA19" s="96"/>
      <c r="HB19" s="96"/>
      <c r="HC19" s="96"/>
      <c r="HD19" s="96"/>
      <c r="HE19" s="96"/>
      <c r="HF19" s="96"/>
      <c r="HG19" s="96"/>
      <c r="HH19" s="96"/>
      <c r="HI19" s="96"/>
      <c r="HJ19" s="96"/>
      <c r="HK19" s="96"/>
      <c r="HL19" s="96"/>
      <c r="HM19" s="96"/>
      <c r="HN19" s="96"/>
      <c r="HO19" s="96"/>
      <c r="HP19" s="96"/>
      <c r="HQ19" s="96"/>
      <c r="HR19" s="96"/>
      <c r="HS19" s="96"/>
      <c r="HT19" s="96"/>
      <c r="HU19" s="96"/>
      <c r="HV19" s="96"/>
      <c r="HW19" s="96"/>
      <c r="HX19" s="96"/>
      <c r="HY19" s="96"/>
      <c r="HZ19" s="96"/>
      <c r="IA19" s="96"/>
      <c r="IB19" s="96"/>
      <c r="IC19" s="96"/>
      <c r="ID19" s="96"/>
      <c r="IE19" s="96"/>
      <c r="IF19" s="96"/>
      <c r="IG19" s="96"/>
      <c r="IH19" s="96"/>
      <c r="II19" s="96"/>
      <c r="IJ19" s="96"/>
      <c r="IK19" s="96"/>
      <c r="IL19" s="96"/>
      <c r="IM19" s="96"/>
      <c r="IN19" s="96"/>
      <c r="IO19" s="96"/>
      <c r="IP19" s="96"/>
      <c r="IQ19" s="96"/>
      <c r="IR19" s="96"/>
      <c r="IS19" s="96"/>
      <c r="IT19" s="96"/>
      <c r="IU19" s="96"/>
      <c r="IV19" s="96"/>
      <c r="IW19" s="96"/>
      <c r="IX19" s="96"/>
      <c r="IY19" s="96"/>
      <c r="IZ19" s="96"/>
      <c r="JA19" s="96"/>
      <c r="JB19" s="96"/>
      <c r="JC19" s="96"/>
      <c r="JD19" s="96"/>
      <c r="JE19" s="96"/>
      <c r="JF19" s="96"/>
      <c r="JG19" s="96"/>
      <c r="JH19" s="96"/>
      <c r="JI19" s="96"/>
      <c r="JJ19" s="96"/>
      <c r="JK19" s="96"/>
      <c r="JL19" s="96"/>
      <c r="JM19" s="96"/>
      <c r="JN19" s="96"/>
      <c r="JO19" s="96"/>
      <c r="JP19" s="96"/>
      <c r="JQ19" s="96"/>
      <c r="JR19" s="96"/>
      <c r="JS19" s="96"/>
      <c r="JT19" s="96"/>
      <c r="JU19" s="96"/>
      <c r="JV19" s="96"/>
      <c r="JW19" s="96"/>
      <c r="JX19" s="96"/>
      <c r="JY19" s="96"/>
      <c r="JZ19" s="96"/>
      <c r="KA19" s="96"/>
      <c r="KB19" s="96"/>
      <c r="KC19" s="96"/>
      <c r="KD19" s="96"/>
      <c r="KE19" s="96"/>
      <c r="KF19" s="96"/>
      <c r="KG19" s="96"/>
      <c r="KH19" s="96"/>
      <c r="KI19" s="96"/>
      <c r="KJ19" s="96"/>
      <c r="KK19" s="96"/>
      <c r="KL19" s="96"/>
      <c r="KM19" s="96"/>
      <c r="KN19" s="96"/>
      <c r="KO19" s="96"/>
      <c r="KP19" s="96"/>
      <c r="KQ19" s="96"/>
      <c r="KR19" s="96"/>
      <c r="KS19" s="96"/>
      <c r="KT19" s="96"/>
      <c r="KU19" s="96"/>
      <c r="KV19" s="96"/>
      <c r="KW19" s="96"/>
      <c r="KX19" s="96"/>
      <c r="KY19" s="96"/>
      <c r="KZ19" s="96"/>
      <c r="LA19" s="96"/>
      <c r="LB19" s="96"/>
      <c r="LC19" s="96"/>
      <c r="LD19" s="96"/>
      <c r="LE19" s="96"/>
      <c r="LF19" s="96"/>
      <c r="LG19" s="96"/>
      <c r="LH19" s="96"/>
      <c r="LI19" s="96"/>
      <c r="LJ19" s="96"/>
      <c r="LK19" s="96"/>
      <c r="LL19" s="96"/>
      <c r="LM19" s="96"/>
      <c r="LN19" s="96"/>
      <c r="LO19" s="96"/>
      <c r="LP19" s="96"/>
      <c r="LQ19" s="96"/>
      <c r="LR19" s="96"/>
      <c r="LS19" s="96"/>
      <c r="LT19" s="96"/>
      <c r="LU19" s="96"/>
      <c r="LV19" s="96"/>
      <c r="LW19" s="96"/>
      <c r="LX19" s="96"/>
      <c r="LY19" s="96"/>
      <c r="LZ19" s="96"/>
      <c r="MA19" s="96"/>
      <c r="MB19" s="96"/>
      <c r="MC19" s="96"/>
      <c r="MD19" s="96"/>
      <c r="ME19" s="96"/>
      <c r="MF19" s="96"/>
      <c r="MG19" s="96"/>
      <c r="MH19" s="96"/>
      <c r="MI19" s="96"/>
      <c r="MJ19" s="96"/>
      <c r="MK19" s="96"/>
      <c r="ML19" s="96"/>
      <c r="MM19" s="96"/>
      <c r="MN19" s="96"/>
      <c r="MO19" s="96"/>
      <c r="MP19" s="96"/>
      <c r="MQ19" s="96"/>
      <c r="MR19" s="96"/>
      <c r="MS19" s="96"/>
      <c r="MT19" s="96"/>
      <c r="MU19" s="96"/>
      <c r="MV19" s="96"/>
      <c r="MW19" s="96"/>
      <c r="MX19" s="96"/>
      <c r="MY19" s="96"/>
      <c r="MZ19" s="96"/>
      <c r="NA19" s="96"/>
      <c r="NB19" s="96"/>
      <c r="NC19" s="96"/>
      <c r="ND19" s="96"/>
      <c r="NE19" s="96"/>
      <c r="NF19" s="96"/>
      <c r="NG19" s="96"/>
      <c r="NH19" s="391"/>
      <c r="NI19" s="391"/>
      <c r="NJ19" s="391"/>
      <c r="NK19" s="391"/>
      <c r="NL19" s="391"/>
      <c r="NM19" s="391"/>
      <c r="NN19" s="391"/>
      <c r="NO19" s="391"/>
      <c r="NP19" s="391"/>
      <c r="NQ19" s="391"/>
      <c r="NR19" s="391"/>
      <c r="NS19" s="391"/>
      <c r="NT19" s="391"/>
      <c r="NU19" s="391"/>
      <c r="NV19" s="391"/>
      <c r="NW19" s="391"/>
      <c r="NX19" s="391"/>
      <c r="NY19" s="391"/>
      <c r="NZ19" s="391"/>
      <c r="OA19" s="391"/>
      <c r="OB19" s="391"/>
      <c r="OC19" s="391"/>
      <c r="OD19" s="391"/>
      <c r="OE19" s="391"/>
      <c r="OF19" s="391"/>
      <c r="OG19" s="391"/>
      <c r="OH19" s="391"/>
      <c r="OI19" s="391"/>
      <c r="OJ19" s="391"/>
      <c r="OK19" s="391"/>
      <c r="OL19" s="391"/>
      <c r="OM19" s="391"/>
      <c r="ON19" s="391"/>
      <c r="OO19" s="391"/>
      <c r="OP19" s="391"/>
      <c r="OQ19" s="391"/>
      <c r="OR19" s="391"/>
      <c r="OS19" s="391"/>
      <c r="OT19" s="391"/>
      <c r="OU19" s="391"/>
      <c r="OV19" s="391"/>
      <c r="OW19" s="391"/>
      <c r="OX19" s="391"/>
      <c r="OY19" s="391"/>
      <c r="OZ19" s="391"/>
      <c r="PA19" s="391"/>
      <c r="PB19" s="391"/>
      <c r="PC19" s="391"/>
      <c r="PD19" s="391"/>
      <c r="PE19" s="391"/>
      <c r="PF19" s="391"/>
      <c r="PG19" s="391"/>
      <c r="PH19" s="391"/>
      <c r="PI19" s="391"/>
      <c r="PJ19" s="391"/>
      <c r="PK19" s="391"/>
      <c r="PL19" s="391"/>
      <c r="PM19" s="391"/>
      <c r="PN19" s="391"/>
      <c r="PO19" s="391"/>
      <c r="PP19" s="391"/>
      <c r="PQ19" s="391"/>
      <c r="PR19" s="391"/>
      <c r="PS19" s="391"/>
      <c r="PT19" s="391"/>
      <c r="PU19" s="391"/>
      <c r="PV19" s="391"/>
      <c r="PW19" s="391"/>
      <c r="PX19" s="391"/>
      <c r="PY19" s="391"/>
      <c r="PZ19" s="391"/>
      <c r="QA19" s="391"/>
      <c r="QB19" s="391"/>
      <c r="QC19" s="391"/>
      <c r="QD19" s="391"/>
      <c r="QE19" s="391"/>
      <c r="QF19" s="391"/>
      <c r="QG19" s="391"/>
      <c r="QH19" s="391"/>
      <c r="QI19" s="391"/>
      <c r="QJ19" s="391"/>
      <c r="QK19" s="391"/>
      <c r="QL19" s="391"/>
      <c r="QM19" s="391"/>
      <c r="QN19" s="391"/>
      <c r="QO19" s="391"/>
      <c r="QP19" s="391"/>
      <c r="QQ19" s="391"/>
      <c r="QR19" s="391"/>
      <c r="QS19" s="391"/>
      <c r="QT19" s="391"/>
      <c r="QU19" s="391"/>
      <c r="QV19" s="391"/>
      <c r="QW19" s="391"/>
      <c r="QX19" s="391"/>
      <c r="QY19" s="391"/>
      <c r="QZ19" s="391"/>
      <c r="RA19" s="391"/>
      <c r="RB19" s="391"/>
      <c r="RC19" s="391"/>
      <c r="RD19" s="391"/>
      <c r="RE19" s="391"/>
      <c r="RF19" s="391"/>
      <c r="RG19" s="391"/>
      <c r="RH19" s="391"/>
      <c r="RI19" s="391"/>
      <c r="RJ19" s="391"/>
      <c r="RK19" s="391"/>
      <c r="RL19" s="391"/>
      <c r="RM19" s="391"/>
      <c r="RN19" s="96"/>
      <c r="RO19" s="96"/>
      <c r="RP19" s="96"/>
      <c r="RQ19" s="96"/>
      <c r="RR19" s="96"/>
      <c r="RS19" s="96"/>
      <c r="RT19" s="96"/>
      <c r="RU19" s="96"/>
      <c r="RV19" s="96"/>
      <c r="RW19" s="96"/>
      <c r="RX19" s="96"/>
      <c r="RY19" s="96"/>
      <c r="RZ19" s="96"/>
      <c r="SA19" s="96"/>
      <c r="SB19" s="96"/>
      <c r="SC19" s="96"/>
      <c r="SD19" s="96"/>
      <c r="SE19" s="96"/>
      <c r="SF19" s="96"/>
      <c r="SG19" s="96"/>
      <c r="SH19" s="96"/>
      <c r="SI19" s="96"/>
      <c r="SJ19" s="96"/>
      <c r="SK19" s="96"/>
      <c r="SL19" s="96"/>
      <c r="SM19" s="96"/>
      <c r="SN19" s="96"/>
      <c r="SO19" s="96"/>
      <c r="SP19" s="96"/>
      <c r="SQ19" s="96"/>
      <c r="SR19" s="96"/>
      <c r="SS19" s="96"/>
      <c r="ST19" s="96"/>
      <c r="SU19" s="96"/>
      <c r="SV19" s="96"/>
      <c r="SW19" s="96"/>
      <c r="SX19" s="96"/>
      <c r="SY19" s="96"/>
      <c r="SZ19" s="96"/>
      <c r="TA19" s="96"/>
      <c r="TB19" s="96"/>
      <c r="TC19" s="96"/>
      <c r="TD19" s="96"/>
      <c r="TE19" s="96"/>
      <c r="TF19" s="96"/>
      <c r="TG19" s="96"/>
      <c r="TH19" s="96"/>
      <c r="TI19" s="96"/>
      <c r="TJ19" s="96"/>
      <c r="TK19" s="96"/>
      <c r="TL19" s="96"/>
      <c r="TM19" s="96"/>
      <c r="TN19" s="96"/>
      <c r="TO19" s="96"/>
      <c r="TP19" s="96"/>
      <c r="TQ19" s="96"/>
      <c r="TR19" s="96"/>
      <c r="TS19" s="96"/>
      <c r="TT19" s="96"/>
      <c r="TU19" s="96"/>
      <c r="TV19" s="96"/>
      <c r="TW19" s="96"/>
      <c r="TX19" s="96"/>
      <c r="TY19" s="96"/>
      <c r="TZ19" s="96"/>
      <c r="UA19" s="96"/>
      <c r="UB19" s="96"/>
      <c r="UC19" s="96"/>
      <c r="UD19" s="96"/>
      <c r="UE19" s="96"/>
      <c r="UF19" s="96"/>
      <c r="UG19" s="96"/>
      <c r="UH19" s="96"/>
      <c r="UI19" s="96"/>
      <c r="UJ19" s="96"/>
      <c r="UK19" s="96"/>
      <c r="UL19" s="96"/>
      <c r="UM19" s="96"/>
      <c r="UN19" s="96"/>
      <c r="UO19" s="96"/>
      <c r="UP19" s="96"/>
      <c r="UQ19" s="96"/>
      <c r="UR19" s="96"/>
      <c r="US19" s="96"/>
      <c r="UT19" s="96"/>
      <c r="UU19" s="96"/>
      <c r="UV19" s="96"/>
      <c r="UW19" s="96"/>
      <c r="UX19" s="96"/>
      <c r="UY19" s="96"/>
      <c r="UZ19" s="96"/>
      <c r="VA19" s="96"/>
      <c r="VB19" s="96"/>
      <c r="VC19" s="96"/>
      <c r="VD19" s="96"/>
      <c r="VE19" s="96"/>
      <c r="VF19" s="96"/>
      <c r="VG19" s="96"/>
      <c r="VH19" s="96"/>
      <c r="VI19" s="96"/>
      <c r="VJ19" s="96"/>
      <c r="VK19" s="96"/>
      <c r="VL19" s="96"/>
      <c r="VM19" s="96"/>
      <c r="VN19" s="96"/>
      <c r="VO19" s="96"/>
      <c r="VP19" s="96"/>
      <c r="VQ19" s="96"/>
      <c r="VR19" s="96"/>
      <c r="VS19" s="96"/>
      <c r="VT19" s="96"/>
      <c r="VU19" s="96"/>
      <c r="VV19" s="96"/>
      <c r="VW19" s="96"/>
      <c r="VX19" s="96"/>
      <c r="VY19" s="96"/>
      <c r="VZ19" s="96"/>
      <c r="WA19" s="96"/>
      <c r="WB19" s="96"/>
      <c r="WC19" s="96"/>
      <c r="WD19" s="96"/>
      <c r="WE19" s="96"/>
      <c r="WF19" s="96"/>
      <c r="WG19" s="96"/>
      <c r="WH19" s="96"/>
      <c r="WI19" s="96"/>
      <c r="WJ19" s="96"/>
      <c r="WK19" s="96"/>
      <c r="WL19" s="96"/>
      <c r="WM19" s="96"/>
      <c r="WN19" s="96"/>
      <c r="WO19" s="96"/>
      <c r="WP19" s="96"/>
      <c r="WQ19" s="96"/>
      <c r="WR19" s="96"/>
      <c r="WS19" s="96"/>
      <c r="WT19" s="96"/>
      <c r="WU19" s="96"/>
      <c r="WV19" s="96"/>
      <c r="WW19" s="96"/>
      <c r="WX19" s="96"/>
      <c r="WY19" s="96"/>
      <c r="WZ19" s="96"/>
      <c r="XA19" s="96"/>
      <c r="XB19" s="96"/>
      <c r="XC19" s="96"/>
      <c r="XD19" s="96"/>
      <c r="XE19" s="96"/>
      <c r="XF19" s="96"/>
      <c r="XG19" s="96"/>
      <c r="XH19" s="96"/>
      <c r="XI19" s="96"/>
      <c r="XJ19" s="96"/>
      <c r="XK19" s="96"/>
      <c r="XL19" s="96"/>
      <c r="XM19" s="96"/>
      <c r="XN19" s="96"/>
      <c r="XO19" s="96"/>
      <c r="XP19" s="96"/>
      <c r="XQ19" s="96"/>
      <c r="XR19" s="96"/>
      <c r="XS19" s="96"/>
      <c r="XT19" s="96"/>
      <c r="XU19" s="96"/>
      <c r="XV19" s="96"/>
      <c r="XW19" s="96"/>
      <c r="XX19" s="96"/>
      <c r="XY19" s="96"/>
      <c r="XZ19" s="96"/>
      <c r="YA19" s="96"/>
      <c r="YB19" s="96"/>
      <c r="YC19" s="96"/>
      <c r="YD19" s="96"/>
      <c r="YE19" s="96"/>
      <c r="YF19" s="96"/>
      <c r="YG19" s="96"/>
      <c r="YH19" s="96"/>
      <c r="YI19" s="96"/>
      <c r="YJ19" s="96"/>
      <c r="YK19" s="96"/>
      <c r="YL19" s="96"/>
      <c r="YM19" s="96"/>
      <c r="YN19" s="96"/>
      <c r="YO19" s="96"/>
      <c r="YP19" s="96"/>
      <c r="YQ19" s="96"/>
      <c r="YR19" s="96"/>
      <c r="YS19" s="96"/>
      <c r="YT19" s="96"/>
      <c r="YU19" s="96"/>
      <c r="YV19" s="96"/>
      <c r="YW19" s="96"/>
      <c r="YX19" s="96"/>
      <c r="YY19" s="96"/>
      <c r="YZ19" s="96"/>
      <c r="ZA19" s="96"/>
      <c r="ZB19" s="96"/>
      <c r="ZC19" s="96"/>
      <c r="ZD19" s="96"/>
      <c r="ZE19" s="96"/>
      <c r="ZF19" s="96"/>
      <c r="ZG19" s="96"/>
      <c r="ZH19" s="96"/>
      <c r="ZI19" s="96"/>
      <c r="ZJ19" s="96"/>
      <c r="ZK19" s="96"/>
      <c r="ZL19" s="96"/>
      <c r="ZM19" s="96"/>
      <c r="ZN19" s="96"/>
      <c r="ZO19" s="96"/>
      <c r="ZP19" s="96"/>
      <c r="ZQ19" s="96"/>
      <c r="ZR19" s="96"/>
      <c r="ZS19" s="96"/>
      <c r="ZT19" s="96"/>
      <c r="ZU19" s="96"/>
      <c r="ZV19" s="96"/>
      <c r="ZW19" s="96"/>
      <c r="ZX19" s="96"/>
      <c r="ZY19" s="96"/>
      <c r="ZZ19" s="605"/>
      <c r="AAA19" s="605"/>
      <c r="AAB19" s="605"/>
      <c r="AAC19" s="605"/>
      <c r="AAD19" s="605"/>
      <c r="AAE19" s="605"/>
      <c r="AAF19" s="605"/>
      <c r="AAG19" s="605"/>
      <c r="AAH19" s="605"/>
      <c r="AAI19" s="605"/>
      <c r="AAJ19" s="605"/>
      <c r="AAK19" s="605"/>
      <c r="AAL19" s="605"/>
      <c r="AAM19" s="605"/>
      <c r="AAN19" s="605"/>
      <c r="AAO19" s="605"/>
      <c r="AAP19" s="605"/>
      <c r="AAQ19" s="605"/>
      <c r="AAR19" s="605"/>
      <c r="AAS19" s="605"/>
      <c r="AAT19" s="605"/>
      <c r="AAU19" s="605"/>
      <c r="AAV19" s="605"/>
      <c r="AAW19" s="605"/>
      <c r="AAX19" s="605"/>
      <c r="AAY19" s="605"/>
      <c r="AAZ19" s="605"/>
      <c r="ABA19" s="605"/>
      <c r="ABB19" s="605"/>
      <c r="ABC19" s="605"/>
      <c r="ABD19" s="605"/>
      <c r="ABE19" s="605"/>
      <c r="ABF19" s="605"/>
      <c r="ABG19" s="605"/>
      <c r="ABH19" s="605"/>
      <c r="ABI19" s="605"/>
      <c r="ABJ19" s="605"/>
      <c r="ABK19" s="605"/>
      <c r="ABL19" s="605"/>
      <c r="ABM19" s="605"/>
      <c r="ABN19" s="605"/>
      <c r="ABO19" s="605"/>
      <c r="ABP19" s="605"/>
      <c r="ABQ19" s="605"/>
      <c r="ABR19" s="605"/>
      <c r="ABS19" s="605"/>
      <c r="ABT19" s="605"/>
      <c r="ABU19" s="605"/>
      <c r="ABV19" s="605"/>
      <c r="ABW19" s="605"/>
      <c r="ABX19" s="605"/>
      <c r="ABY19" s="605"/>
      <c r="ABZ19" s="605"/>
      <c r="ACA19" s="605"/>
      <c r="ACB19" s="605"/>
      <c r="ACC19" s="605"/>
      <c r="ACD19" s="605"/>
      <c r="ACE19" s="605"/>
      <c r="ACF19" s="605"/>
      <c r="ACG19" s="605"/>
      <c r="ACH19" s="605"/>
      <c r="ACI19" s="605"/>
      <c r="ACJ19" s="605"/>
      <c r="ACK19" s="605"/>
      <c r="ACL19" s="605"/>
      <c r="ACM19" s="605"/>
      <c r="ACN19" s="605"/>
      <c r="ACO19" s="605"/>
      <c r="ACP19" s="605"/>
      <c r="ACQ19" s="605"/>
      <c r="ACR19" s="605"/>
      <c r="ACS19" s="605"/>
      <c r="ACT19" s="605"/>
      <c r="ACU19" s="605"/>
      <c r="ACV19" s="605"/>
      <c r="ACW19" s="605"/>
      <c r="ACX19" s="605"/>
      <c r="ACY19" s="605"/>
      <c r="ACZ19" s="605"/>
      <c r="ADA19" s="605"/>
      <c r="ADB19" s="605"/>
      <c r="ADC19" s="605"/>
      <c r="ADD19" s="605"/>
      <c r="ADE19" s="605"/>
      <c r="ADF19" s="605"/>
      <c r="ADG19" s="605"/>
      <c r="ADH19" s="605"/>
      <c r="ADI19" s="605"/>
      <c r="ADJ19" s="605"/>
      <c r="ADK19" s="605"/>
      <c r="ADL19" s="605"/>
      <c r="ADM19" s="605"/>
      <c r="ADN19" s="605"/>
      <c r="ADO19" s="605"/>
      <c r="ADP19" s="605"/>
      <c r="ADQ19" s="605"/>
      <c r="ADR19" s="605"/>
      <c r="ADS19" s="605"/>
      <c r="ADT19" s="605"/>
      <c r="ADU19" s="605"/>
      <c r="ADV19" s="605"/>
      <c r="ADW19" s="605"/>
      <c r="ADX19" s="605"/>
      <c r="ADY19" s="605"/>
      <c r="ADZ19" s="605"/>
      <c r="AEA19" s="605"/>
      <c r="AEB19" s="605"/>
      <c r="AEC19" s="605"/>
      <c r="AED19" s="605"/>
      <c r="AEE19" s="605"/>
      <c r="AEF19" s="605"/>
      <c r="AEG19" s="605"/>
      <c r="AEH19" s="605"/>
      <c r="AEI19" s="605"/>
      <c r="AEJ19" s="605"/>
      <c r="AEK19" s="605"/>
      <c r="AEL19" s="605"/>
      <c r="AEM19" s="605"/>
      <c r="AEN19" s="605"/>
      <c r="AEO19" s="605"/>
      <c r="AEP19" s="605"/>
      <c r="AEQ19" s="605"/>
      <c r="AER19" s="605"/>
      <c r="AES19" s="605"/>
      <c r="AET19" s="605"/>
      <c r="AEU19" s="605"/>
      <c r="AEV19" s="605"/>
      <c r="AEW19" s="605"/>
      <c r="AEX19" s="605"/>
      <c r="AEY19" s="605"/>
      <c r="AEZ19" s="605"/>
      <c r="AFA19" s="605"/>
      <c r="AFB19" s="605"/>
      <c r="AFC19" s="605"/>
      <c r="AFD19" s="605"/>
      <c r="AFE19" s="605"/>
      <c r="AFF19" s="605"/>
      <c r="AFG19" s="605"/>
      <c r="AFH19" s="605"/>
      <c r="AFI19" s="605"/>
      <c r="AFJ19" s="605"/>
      <c r="AFK19" s="605"/>
      <c r="AFL19" s="605"/>
      <c r="AFM19" s="605"/>
      <c r="AFN19" s="605"/>
      <c r="AFO19" s="605"/>
      <c r="AFP19" s="605"/>
      <c r="AFQ19" s="605"/>
      <c r="AFR19" s="605"/>
      <c r="AFS19" s="605"/>
      <c r="AFT19" s="605"/>
      <c r="AFU19" s="605"/>
      <c r="AFV19" s="605"/>
      <c r="AFW19" s="605"/>
      <c r="AFX19" s="605"/>
      <c r="AFY19" s="605"/>
      <c r="AFZ19" s="605"/>
      <c r="AGA19" s="605"/>
      <c r="AGB19" s="605"/>
      <c r="AGC19" s="605"/>
      <c r="AGD19" s="605"/>
      <c r="AGE19" s="605"/>
      <c r="AGF19" s="605"/>
      <c r="AGG19" s="605"/>
      <c r="AGH19" s="605"/>
      <c r="AGI19" s="605"/>
      <c r="AGJ19" s="605"/>
      <c r="AGK19" s="605"/>
      <c r="AGL19" s="605"/>
      <c r="AGM19" s="605"/>
      <c r="AGN19" s="605"/>
      <c r="AGO19" s="605"/>
      <c r="AGP19" s="605"/>
      <c r="AGQ19" s="605"/>
      <c r="AGR19" s="605"/>
      <c r="AGS19" s="605"/>
      <c r="AGT19" s="605"/>
      <c r="AGU19" s="605"/>
      <c r="AGV19" s="605"/>
      <c r="AGW19" s="605"/>
      <c r="AGX19" s="605"/>
      <c r="AGY19" s="605"/>
      <c r="AGZ19" s="605"/>
      <c r="AHA19" s="605"/>
      <c r="AHB19" s="605"/>
      <c r="AHC19" s="605"/>
      <c r="AHD19" s="605"/>
      <c r="AHE19" s="605"/>
      <c r="AHF19" s="605"/>
      <c r="AHG19" s="605"/>
      <c r="AHH19" s="605"/>
      <c r="AHI19" s="605"/>
      <c r="AHJ19" s="605"/>
      <c r="AHK19" s="605"/>
      <c r="AHL19" s="605"/>
      <c r="AHM19" s="605"/>
      <c r="AHN19" s="605"/>
      <c r="AHO19" s="605"/>
      <c r="AHP19" s="605"/>
      <c r="AHQ19" s="605"/>
      <c r="AHR19" s="605"/>
      <c r="AHS19" s="605"/>
      <c r="AHT19" s="605"/>
      <c r="AHU19" s="605"/>
      <c r="AHV19" s="605"/>
      <c r="AHW19" s="605"/>
      <c r="AHX19" s="605"/>
      <c r="AHY19" s="605"/>
      <c r="AHZ19" s="605"/>
      <c r="AIA19" s="605"/>
      <c r="AIB19" s="605"/>
      <c r="AIC19" s="605"/>
      <c r="AID19" s="605"/>
      <c r="AIE19" s="605"/>
      <c r="AIF19" s="605"/>
      <c r="AIG19" s="605"/>
      <c r="AIH19" s="605"/>
      <c r="AII19" s="605"/>
      <c r="AIJ19" s="605"/>
      <c r="AIK19" s="605"/>
      <c r="AIL19" s="605"/>
      <c r="AIM19" s="605"/>
      <c r="AIN19" s="605"/>
      <c r="AIO19" s="605"/>
      <c r="AIP19" s="605"/>
      <c r="AIQ19" s="605"/>
      <c r="AIR19" s="605"/>
      <c r="AIS19" s="605"/>
      <c r="AIT19" s="605"/>
      <c r="AIU19" s="605"/>
      <c r="AIV19" s="605"/>
      <c r="AIW19" s="605"/>
      <c r="AIX19" s="605"/>
      <c r="AIY19" s="605"/>
      <c r="AIZ19" s="605"/>
      <c r="AJA19" s="605"/>
      <c r="AJB19" s="605"/>
      <c r="AJC19" s="605"/>
      <c r="AJD19" s="605"/>
      <c r="AJE19" s="605"/>
      <c r="AJF19" s="605"/>
      <c r="AJG19" s="605"/>
      <c r="AJH19" s="605"/>
      <c r="AJI19" s="605"/>
      <c r="AJJ19" s="605"/>
      <c r="AJK19" s="605"/>
      <c r="AJL19" s="605"/>
      <c r="AJM19" s="605"/>
      <c r="AJN19" s="605"/>
      <c r="AJO19" s="605"/>
    </row>
    <row r="20" spans="1:951" x14ac:dyDescent="0.25">
      <c r="A20" s="90" t="s">
        <v>24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6"/>
      <c r="P20" s="96"/>
      <c r="Q20" s="99"/>
      <c r="R20" s="99"/>
      <c r="S20" s="99"/>
      <c r="T20" s="96"/>
      <c r="U20" s="96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100"/>
      <c r="AG20" s="99"/>
      <c r="AH20" s="99"/>
      <c r="AI20" s="96"/>
      <c r="AJ20" s="96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>
        <v>4598</v>
      </c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6"/>
      <c r="DB20" s="96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102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6"/>
      <c r="EY20" s="96"/>
      <c r="EZ20" s="96"/>
      <c r="FA20" s="99"/>
      <c r="FB20" s="99"/>
      <c r="FC20" s="99"/>
      <c r="FD20" s="96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>
        <v>0</v>
      </c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  <c r="HO20" s="99"/>
      <c r="HP20" s="99"/>
      <c r="HQ20" s="99"/>
      <c r="HR20" s="99"/>
      <c r="HS20" s="99"/>
      <c r="HT20" s="99"/>
      <c r="HU20" s="99"/>
      <c r="HV20" s="99"/>
      <c r="HW20" s="99"/>
      <c r="HX20" s="99"/>
      <c r="HY20" s="99"/>
      <c r="HZ20" s="99"/>
      <c r="IA20" s="99"/>
      <c r="IB20" s="99"/>
      <c r="IC20" s="99"/>
      <c r="ID20" s="99"/>
      <c r="IE20" s="99"/>
      <c r="IF20" s="99"/>
      <c r="IG20" s="99"/>
      <c r="IH20" s="99"/>
      <c r="II20" s="99"/>
      <c r="IJ20" s="99"/>
      <c r="IK20" s="99"/>
      <c r="IL20" s="99"/>
      <c r="IM20" s="99"/>
      <c r="IN20" s="99"/>
      <c r="IO20" s="99"/>
      <c r="IP20" s="96"/>
      <c r="IQ20" s="99"/>
      <c r="IR20" s="99"/>
      <c r="IS20" s="99"/>
      <c r="IT20" s="99"/>
      <c r="IU20" s="99"/>
      <c r="IV20" s="99"/>
      <c r="IW20" s="99"/>
      <c r="IX20" s="99"/>
      <c r="IY20" s="99"/>
      <c r="IZ20" s="99"/>
      <c r="JA20" s="99"/>
      <c r="JB20" s="99"/>
      <c r="JC20" s="99"/>
      <c r="JD20" s="96"/>
      <c r="JE20" s="96"/>
      <c r="JF20" s="96"/>
      <c r="JG20" s="99"/>
      <c r="JH20" s="99"/>
      <c r="JI20" s="99"/>
      <c r="JJ20" s="96"/>
      <c r="JK20" s="99"/>
      <c r="JL20" s="99"/>
      <c r="JM20" s="99"/>
      <c r="JN20" s="99"/>
      <c r="JO20" s="99"/>
      <c r="JP20" s="99"/>
      <c r="JQ20" s="99"/>
      <c r="JR20" s="99"/>
      <c r="JS20" s="99"/>
      <c r="JT20" s="99"/>
      <c r="JU20" s="99"/>
      <c r="JV20" s="99"/>
      <c r="JW20" s="99"/>
      <c r="JX20" s="99"/>
      <c r="JY20" s="99"/>
      <c r="JZ20" s="99"/>
      <c r="KA20" s="99"/>
      <c r="KB20" s="99"/>
      <c r="KC20" s="99"/>
      <c r="KD20" s="99"/>
      <c r="KE20" s="99"/>
      <c r="KF20" s="99"/>
      <c r="KG20" s="99"/>
      <c r="KH20" s="99"/>
      <c r="KI20" s="99"/>
      <c r="KJ20" s="99"/>
      <c r="KK20" s="99"/>
      <c r="KL20" s="99"/>
      <c r="KM20" s="99"/>
      <c r="KN20" s="99"/>
      <c r="KO20" s="99"/>
      <c r="KP20" s="99">
        <v>0</v>
      </c>
      <c r="KQ20" s="99">
        <v>0</v>
      </c>
      <c r="KR20" s="99"/>
      <c r="KS20" s="99"/>
      <c r="KT20" s="99"/>
      <c r="KU20" s="99"/>
      <c r="KV20" s="99"/>
      <c r="KW20" s="99"/>
      <c r="KX20" s="99"/>
      <c r="KY20" s="99"/>
      <c r="KZ20" s="99"/>
      <c r="LA20" s="99"/>
      <c r="LB20" s="99"/>
      <c r="LC20" s="99"/>
      <c r="LD20" s="99"/>
      <c r="LE20" s="99"/>
      <c r="LF20" s="99"/>
      <c r="LG20" s="99"/>
      <c r="LH20" s="99"/>
      <c r="LI20" s="99"/>
      <c r="LJ20" s="99"/>
      <c r="LK20" s="99"/>
      <c r="LL20" s="99"/>
      <c r="LM20" s="99"/>
      <c r="LN20" s="99"/>
      <c r="LO20" s="99"/>
      <c r="LP20" s="99"/>
      <c r="LQ20" s="99"/>
      <c r="LR20" s="99"/>
      <c r="LS20" s="99"/>
      <c r="LT20" s="99"/>
      <c r="LU20" s="99"/>
      <c r="LV20" s="99"/>
      <c r="LW20" s="99"/>
      <c r="LX20" s="99"/>
      <c r="LY20" s="99"/>
      <c r="LZ20" s="99"/>
      <c r="MA20" s="99"/>
      <c r="MB20" s="99"/>
      <c r="MC20" s="99"/>
      <c r="MD20" s="99"/>
      <c r="ME20" s="99"/>
      <c r="MF20" s="99"/>
      <c r="MG20" s="99"/>
      <c r="MH20" s="99"/>
      <c r="MI20" s="99"/>
      <c r="MJ20" s="99"/>
      <c r="MK20" s="99"/>
      <c r="ML20" s="99"/>
      <c r="MM20" s="99"/>
      <c r="MN20" s="99"/>
      <c r="MO20" s="99"/>
      <c r="MP20" s="99"/>
      <c r="MQ20" s="99"/>
      <c r="MR20" s="99"/>
      <c r="MS20" s="99">
        <v>0</v>
      </c>
      <c r="MT20" s="99"/>
      <c r="MU20" s="99"/>
      <c r="MV20" s="99"/>
      <c r="MW20" s="99"/>
      <c r="MX20" s="99"/>
      <c r="MY20" s="99"/>
      <c r="MZ20" s="99"/>
      <c r="NA20" s="99"/>
      <c r="NB20" s="99"/>
      <c r="NC20" s="99"/>
      <c r="ND20" s="99"/>
      <c r="NE20" s="99"/>
      <c r="NF20" s="99"/>
      <c r="NG20" s="99"/>
      <c r="NH20" s="393"/>
      <c r="NI20" s="393"/>
      <c r="NJ20" s="391"/>
      <c r="NK20" s="391"/>
      <c r="NL20" s="391"/>
      <c r="NM20" s="393"/>
      <c r="NN20" s="393"/>
      <c r="NO20" s="393"/>
      <c r="NP20" s="391"/>
      <c r="NQ20" s="393"/>
      <c r="NR20" s="393"/>
      <c r="NS20" s="393"/>
      <c r="NT20" s="393"/>
      <c r="NU20" s="393"/>
      <c r="NV20" s="393"/>
      <c r="NW20" s="393"/>
      <c r="NX20" s="393"/>
      <c r="NY20" s="393"/>
      <c r="NZ20" s="393"/>
      <c r="OA20" s="393"/>
      <c r="OB20" s="393"/>
      <c r="OC20" s="393"/>
      <c r="OD20" s="393"/>
      <c r="OE20" s="393"/>
      <c r="OF20" s="393"/>
      <c r="OG20" s="393"/>
      <c r="OH20" s="393"/>
      <c r="OI20" s="393"/>
      <c r="OJ20" s="393"/>
      <c r="OK20" s="393"/>
      <c r="OL20" s="393"/>
      <c r="OM20" s="393"/>
      <c r="ON20" s="393"/>
      <c r="OO20" s="393"/>
      <c r="OP20" s="393"/>
      <c r="OQ20" s="393"/>
      <c r="OR20" s="393"/>
      <c r="OS20" s="393"/>
      <c r="OT20" s="393"/>
      <c r="OU20" s="393"/>
      <c r="OV20" s="393">
        <f>+OV8-OV18</f>
        <v>0</v>
      </c>
      <c r="OW20" s="393"/>
      <c r="OX20" s="393"/>
      <c r="OY20" s="393"/>
      <c r="OZ20" s="393"/>
      <c r="PA20" s="393"/>
      <c r="PB20" s="393"/>
      <c r="PC20" s="393"/>
      <c r="PD20" s="393"/>
      <c r="PE20" s="393"/>
      <c r="PF20" s="393"/>
      <c r="PG20" s="393"/>
      <c r="PH20" s="393"/>
      <c r="PI20" s="393"/>
      <c r="PJ20" s="393"/>
      <c r="PK20" s="393"/>
      <c r="PL20" s="393"/>
      <c r="PM20" s="393"/>
      <c r="PN20" s="393"/>
      <c r="PO20" s="393"/>
      <c r="PP20" s="393"/>
      <c r="PQ20" s="393"/>
      <c r="PR20" s="393"/>
      <c r="PS20" s="393"/>
      <c r="PT20" s="393"/>
      <c r="PU20" s="393"/>
      <c r="PV20" s="393"/>
      <c r="PW20" s="393"/>
      <c r="PX20" s="393"/>
      <c r="PY20" s="393"/>
      <c r="PZ20" s="393"/>
      <c r="QA20" s="393"/>
      <c r="QB20" s="393"/>
      <c r="QC20" s="393"/>
      <c r="QD20" s="393"/>
      <c r="QE20" s="393"/>
      <c r="QF20" s="393"/>
      <c r="QG20" s="393"/>
      <c r="QH20" s="393"/>
      <c r="QI20" s="393"/>
      <c r="QJ20" s="393"/>
      <c r="QK20" s="393"/>
      <c r="QL20" s="393"/>
      <c r="QM20" s="393"/>
      <c r="QN20" s="393"/>
      <c r="QO20" s="393"/>
      <c r="QP20" s="393"/>
      <c r="QQ20" s="393"/>
      <c r="QR20" s="393"/>
      <c r="QS20" s="393"/>
      <c r="QT20" s="393"/>
      <c r="QU20" s="393"/>
      <c r="QV20" s="393"/>
      <c r="QW20" s="393"/>
      <c r="QX20" s="393"/>
      <c r="QY20" s="393">
        <f>+QY8-QY18</f>
        <v>313792</v>
      </c>
      <c r="QZ20" s="393"/>
      <c r="RA20" s="393"/>
      <c r="RB20" s="393"/>
      <c r="RC20" s="393"/>
      <c r="RD20" s="393"/>
      <c r="RE20" s="393"/>
      <c r="RF20" s="393"/>
      <c r="RG20" s="393"/>
      <c r="RH20" s="393"/>
      <c r="RI20" s="393"/>
      <c r="RJ20" s="393"/>
      <c r="RK20" s="393"/>
      <c r="RL20" s="393"/>
      <c r="RM20" s="393"/>
      <c r="RN20" s="99"/>
      <c r="RO20" s="99"/>
      <c r="RP20" s="96"/>
      <c r="RQ20" s="96"/>
      <c r="RR20" s="99"/>
      <c r="RS20" s="99"/>
      <c r="RT20" s="99"/>
      <c r="RU20" s="99"/>
      <c r="RV20" s="99"/>
      <c r="RW20" s="99"/>
      <c r="RX20" s="99"/>
      <c r="RY20" s="99"/>
      <c r="RZ20" s="99"/>
      <c r="SA20" s="99"/>
      <c r="SB20" s="99"/>
      <c r="SC20" s="99"/>
      <c r="SD20" s="99"/>
      <c r="SE20" s="99"/>
      <c r="SF20" s="99"/>
      <c r="SG20" s="99"/>
      <c r="SH20" s="99"/>
      <c r="SI20" s="99"/>
      <c r="SJ20" s="99"/>
      <c r="SK20" s="99"/>
      <c r="SL20" s="99"/>
      <c r="SM20" s="99"/>
      <c r="SN20" s="99"/>
      <c r="SO20" s="99"/>
      <c r="SP20" s="99"/>
      <c r="SQ20" s="99"/>
      <c r="SR20" s="99"/>
      <c r="SS20" s="99"/>
      <c r="ST20" s="99"/>
      <c r="SU20" s="99"/>
      <c r="SV20" s="99"/>
      <c r="SW20" s="99"/>
      <c r="SX20" s="99"/>
      <c r="SY20" s="99"/>
      <c r="SZ20" s="99"/>
      <c r="TA20" s="99"/>
      <c r="TB20" s="99"/>
      <c r="TC20" s="99"/>
      <c r="TD20" s="99"/>
      <c r="TE20" s="99"/>
      <c r="TF20" s="99"/>
      <c r="TG20" s="99"/>
      <c r="TH20" s="96"/>
      <c r="TI20" s="99"/>
      <c r="TJ20" s="99"/>
      <c r="TK20" s="99"/>
      <c r="TL20" s="99"/>
      <c r="TM20" s="99"/>
      <c r="TN20" s="99"/>
      <c r="TO20" s="99"/>
      <c r="TP20" s="99"/>
      <c r="TQ20" s="99"/>
      <c r="TR20" s="99"/>
      <c r="TS20" s="99"/>
      <c r="TT20" s="99"/>
      <c r="TU20" s="99"/>
      <c r="TV20" s="99"/>
      <c r="TW20" s="99"/>
      <c r="TX20" s="99"/>
      <c r="TY20" s="99"/>
      <c r="TZ20" s="99"/>
      <c r="UA20" s="99"/>
      <c r="UB20" s="99"/>
      <c r="UC20" s="99"/>
      <c r="UD20" s="99"/>
      <c r="UE20" s="99"/>
      <c r="UF20" s="99"/>
      <c r="UG20" s="99"/>
      <c r="UH20" s="99"/>
      <c r="UI20" s="99"/>
      <c r="UJ20" s="99"/>
      <c r="UK20" s="99"/>
      <c r="UL20" s="99"/>
      <c r="UM20" s="99"/>
      <c r="UN20" s="99"/>
      <c r="UO20" s="99"/>
      <c r="UP20" s="99"/>
      <c r="UQ20" s="99"/>
      <c r="UR20" s="99"/>
      <c r="US20" s="99"/>
      <c r="UT20" s="99"/>
      <c r="UU20" s="99"/>
      <c r="UV20" s="99"/>
      <c r="UW20" s="99"/>
      <c r="UX20" s="99"/>
      <c r="UY20" s="99"/>
      <c r="UZ20" s="99"/>
      <c r="VA20" s="99"/>
      <c r="VB20" s="99"/>
      <c r="VC20" s="99"/>
      <c r="VD20" s="99"/>
      <c r="VE20" s="99">
        <v>0</v>
      </c>
      <c r="VF20" s="99"/>
      <c r="VG20" s="99"/>
      <c r="VH20" s="99"/>
      <c r="VI20" s="99"/>
      <c r="VJ20" s="99"/>
      <c r="VK20" s="99"/>
      <c r="VL20" s="99"/>
      <c r="VM20" s="99"/>
      <c r="VN20" s="99"/>
      <c r="VO20" s="99"/>
      <c r="VP20" s="99"/>
      <c r="VQ20" s="99"/>
      <c r="VR20" s="99"/>
      <c r="VS20" s="99"/>
      <c r="VT20" s="99"/>
      <c r="VU20" s="99"/>
      <c r="VV20" s="96"/>
      <c r="VW20" s="96"/>
      <c r="VX20" s="99"/>
      <c r="VY20" s="99"/>
      <c r="VZ20" s="99"/>
      <c r="WA20" s="99"/>
      <c r="WB20" s="99"/>
      <c r="WC20" s="99"/>
      <c r="WD20" s="99"/>
      <c r="WE20" s="99"/>
      <c r="WF20" s="99"/>
      <c r="WG20" s="99"/>
      <c r="WH20" s="99"/>
      <c r="WI20" s="99"/>
      <c r="WJ20" s="99"/>
      <c r="WK20" s="99"/>
      <c r="WL20" s="99"/>
      <c r="WM20" s="99"/>
      <c r="WN20" s="99"/>
      <c r="WO20" s="99"/>
      <c r="WP20" s="99"/>
      <c r="WQ20" s="99"/>
      <c r="WR20" s="99"/>
      <c r="WS20" s="99"/>
      <c r="WT20" s="99"/>
      <c r="WU20" s="99"/>
      <c r="WV20" s="99"/>
      <c r="WW20" s="99"/>
      <c r="WX20" s="99"/>
      <c r="WY20" s="99"/>
      <c r="WZ20" s="99"/>
      <c r="XA20" s="99"/>
      <c r="XB20" s="99"/>
      <c r="XC20" s="99"/>
      <c r="XD20" s="99"/>
      <c r="XE20" s="99"/>
      <c r="XF20" s="99"/>
      <c r="XG20" s="99"/>
      <c r="XH20" s="99"/>
      <c r="XI20" s="99"/>
      <c r="XJ20" s="99"/>
      <c r="XK20" s="99"/>
      <c r="XL20" s="99"/>
      <c r="XM20" s="99"/>
      <c r="XN20" s="96"/>
      <c r="XO20" s="99"/>
      <c r="XP20" s="99"/>
      <c r="XQ20" s="99"/>
      <c r="XR20" s="99"/>
      <c r="XS20" s="99"/>
      <c r="XT20" s="99"/>
      <c r="XU20" s="99"/>
      <c r="XV20" s="99"/>
      <c r="XW20" s="99"/>
      <c r="XX20" s="99"/>
      <c r="XY20" s="99"/>
      <c r="XZ20" s="99"/>
      <c r="YA20" s="99"/>
      <c r="YB20" s="99"/>
      <c r="YC20" s="99"/>
      <c r="YD20" s="99"/>
      <c r="YE20" s="99"/>
      <c r="YF20" s="99"/>
      <c r="YG20" s="99"/>
      <c r="YH20" s="99"/>
      <c r="YI20" s="99"/>
      <c r="YJ20" s="99"/>
      <c r="YK20" s="99"/>
      <c r="YL20" s="99"/>
      <c r="YM20" s="99"/>
      <c r="YN20" s="99"/>
      <c r="YO20" s="99"/>
      <c r="YP20" s="99"/>
      <c r="YQ20" s="99"/>
      <c r="YR20" s="99"/>
      <c r="YS20" s="99"/>
      <c r="YT20" s="99"/>
      <c r="YU20" s="99"/>
      <c r="YV20" s="99"/>
      <c r="YW20" s="99"/>
      <c r="YX20" s="99"/>
      <c r="YY20" s="99"/>
      <c r="YZ20" s="99"/>
      <c r="ZA20" s="99"/>
      <c r="ZB20" s="99"/>
      <c r="ZC20" s="99"/>
      <c r="ZD20" s="99"/>
      <c r="ZE20" s="99"/>
      <c r="ZF20" s="99"/>
      <c r="ZG20" s="99"/>
      <c r="ZH20" s="99"/>
      <c r="ZI20" s="99"/>
      <c r="ZJ20" s="99">
        <v>0</v>
      </c>
      <c r="ZK20" s="99">
        <v>0</v>
      </c>
      <c r="ZL20" s="99"/>
      <c r="ZM20" s="99"/>
      <c r="ZN20" s="99"/>
      <c r="ZO20" s="99"/>
      <c r="ZP20" s="99"/>
      <c r="ZQ20" s="99"/>
      <c r="ZR20" s="99"/>
      <c r="ZS20" s="99"/>
      <c r="ZT20" s="99"/>
      <c r="ZU20" s="99"/>
      <c r="ZV20" s="99"/>
      <c r="ZW20" s="99"/>
      <c r="ZX20" s="99"/>
      <c r="ZY20" s="99"/>
      <c r="ZZ20" s="605"/>
      <c r="AAA20" s="605"/>
      <c r="AAB20" s="605"/>
      <c r="AAC20" s="605"/>
      <c r="AAD20" s="605"/>
      <c r="AAE20" s="605"/>
      <c r="AAF20" s="605"/>
      <c r="AAG20" s="605"/>
      <c r="AAH20" s="605"/>
      <c r="AAI20" s="605"/>
      <c r="AAJ20" s="605"/>
      <c r="AAK20" s="605"/>
      <c r="AAL20" s="605"/>
      <c r="AAM20" s="605"/>
      <c r="AAN20" s="605"/>
      <c r="AAO20" s="605"/>
      <c r="AAP20" s="605"/>
      <c r="AAQ20" s="605"/>
      <c r="AAR20" s="605"/>
      <c r="AAS20" s="605"/>
      <c r="AAT20" s="605"/>
      <c r="AAU20" s="605"/>
      <c r="AAV20" s="605"/>
      <c r="AAW20" s="605"/>
      <c r="AAX20" s="605"/>
      <c r="AAY20" s="605"/>
      <c r="AAZ20" s="605"/>
      <c r="ABA20" s="605"/>
      <c r="ABB20" s="605"/>
      <c r="ABC20" s="605"/>
      <c r="ABD20" s="605"/>
      <c r="ABE20" s="605"/>
      <c r="ABF20" s="605"/>
      <c r="ABG20" s="605"/>
      <c r="ABH20" s="605"/>
      <c r="ABI20" s="605"/>
      <c r="ABJ20" s="605"/>
      <c r="ABK20" s="605"/>
      <c r="ABL20" s="605"/>
      <c r="ABM20" s="605"/>
      <c r="ABN20" s="605"/>
      <c r="ABO20" s="605"/>
      <c r="ABP20" s="605"/>
      <c r="ABQ20" s="605"/>
      <c r="ABR20" s="605"/>
      <c r="ABS20" s="605"/>
      <c r="ABT20" s="605"/>
      <c r="ABU20" s="605"/>
      <c r="ABV20" s="605"/>
      <c r="ABW20" s="605"/>
      <c r="ABX20" s="605"/>
      <c r="ABY20" s="605"/>
      <c r="ABZ20" s="605"/>
      <c r="ACA20" s="605"/>
      <c r="ACB20" s="605"/>
      <c r="ACC20" s="605"/>
      <c r="ACD20" s="605"/>
      <c r="ACE20" s="605"/>
      <c r="ACF20" s="605"/>
      <c r="ACG20" s="605"/>
      <c r="ACH20" s="605"/>
      <c r="ACI20" s="605"/>
      <c r="ACJ20" s="605"/>
      <c r="ACK20" s="605"/>
      <c r="ACL20" s="605"/>
      <c r="ACM20" s="605"/>
      <c r="ACN20" s="605"/>
      <c r="ACO20" s="605"/>
      <c r="ACP20" s="605"/>
      <c r="ACQ20" s="605"/>
      <c r="ACR20" s="605"/>
      <c r="ACS20" s="605"/>
      <c r="ACT20" s="605"/>
      <c r="ACU20" s="605"/>
      <c r="ACV20" s="605"/>
      <c r="ACW20" s="605"/>
      <c r="ACX20" s="605"/>
      <c r="ACY20" s="605"/>
      <c r="ACZ20" s="605"/>
      <c r="ADA20" s="605"/>
      <c r="ADB20" s="605"/>
      <c r="ADC20" s="605"/>
      <c r="ADD20" s="605"/>
      <c r="ADE20" s="605"/>
      <c r="ADF20" s="605"/>
      <c r="ADG20" s="605"/>
      <c r="ADH20" s="605"/>
      <c r="ADI20" s="605"/>
      <c r="ADJ20" s="605"/>
      <c r="ADK20" s="605"/>
      <c r="ADL20" s="605"/>
      <c r="ADM20" s="605"/>
      <c r="ADN20" s="605"/>
      <c r="ADO20" s="605"/>
      <c r="ADP20" s="605"/>
      <c r="ADQ20" s="605"/>
      <c r="ADR20" s="605"/>
      <c r="ADS20" s="605"/>
      <c r="ADT20" s="605"/>
      <c r="ADU20" s="605"/>
      <c r="ADV20" s="605"/>
      <c r="ADW20" s="605"/>
      <c r="ADX20" s="605"/>
      <c r="ADY20" s="605"/>
      <c r="ADZ20" s="605"/>
      <c r="AEA20" s="605"/>
      <c r="AEB20" s="605"/>
      <c r="AEC20" s="605"/>
      <c r="AED20" s="605"/>
      <c r="AEE20" s="605"/>
      <c r="AEF20" s="605"/>
      <c r="AEG20" s="605"/>
      <c r="AEH20" s="605"/>
      <c r="AEI20" s="605"/>
      <c r="AEJ20" s="605"/>
      <c r="AEK20" s="605"/>
      <c r="AEL20" s="605"/>
      <c r="AEM20" s="605"/>
      <c r="AEN20" s="605"/>
      <c r="AEO20" s="605"/>
      <c r="AEP20" s="605"/>
      <c r="AEQ20" s="605"/>
      <c r="AER20" s="605"/>
      <c r="AES20" s="605"/>
      <c r="AET20" s="605"/>
      <c r="AEU20" s="605"/>
      <c r="AEV20" s="605"/>
      <c r="AEW20" s="605"/>
      <c r="AEX20" s="605"/>
      <c r="AEY20" s="605"/>
      <c r="AEZ20" s="605"/>
      <c r="AFA20" s="605"/>
      <c r="AFB20" s="605"/>
      <c r="AFC20" s="605"/>
      <c r="AFD20" s="605"/>
      <c r="AFE20" s="605"/>
      <c r="AFF20" s="605"/>
      <c r="AFG20" s="605"/>
      <c r="AFH20" s="605"/>
      <c r="AFI20" s="605"/>
      <c r="AFJ20" s="605"/>
      <c r="AFK20" s="605"/>
      <c r="AFL20" s="605"/>
      <c r="AFM20" s="605"/>
      <c r="AFN20" s="605"/>
      <c r="AFO20" s="605"/>
      <c r="AFP20" s="605"/>
      <c r="AFQ20" s="605"/>
      <c r="AFR20" s="605"/>
      <c r="AFS20" s="605"/>
      <c r="AFT20" s="605"/>
      <c r="AFU20" s="605"/>
      <c r="AFV20" s="605"/>
      <c r="AFW20" s="605"/>
      <c r="AFX20" s="605"/>
      <c r="AFY20" s="605"/>
      <c r="AFZ20" s="605"/>
      <c r="AGA20" s="605"/>
      <c r="AGB20" s="605"/>
      <c r="AGC20" s="605"/>
      <c r="AGD20" s="605"/>
      <c r="AGE20" s="605"/>
      <c r="AGF20" s="605"/>
      <c r="AGG20" s="605"/>
      <c r="AGH20" s="605"/>
      <c r="AGI20" s="605"/>
      <c r="AGJ20" s="605"/>
      <c r="AGK20" s="605"/>
      <c r="AGL20" s="605"/>
      <c r="AGM20" s="605"/>
      <c r="AGN20" s="605"/>
      <c r="AGO20" s="605"/>
      <c r="AGP20" s="605"/>
      <c r="AGQ20" s="605"/>
      <c r="AGR20" s="605"/>
      <c r="AGS20" s="605"/>
      <c r="AGT20" s="605"/>
      <c r="AGU20" s="605"/>
      <c r="AGV20" s="605"/>
      <c r="AGW20" s="605"/>
      <c r="AGX20" s="605"/>
      <c r="AGY20" s="605"/>
      <c r="AGZ20" s="605"/>
      <c r="AHA20" s="605"/>
      <c r="AHB20" s="605"/>
      <c r="AHC20" s="605"/>
      <c r="AHD20" s="605"/>
      <c r="AHE20" s="605"/>
      <c r="AHF20" s="605"/>
      <c r="AHG20" s="605"/>
      <c r="AHH20" s="605"/>
      <c r="AHI20" s="605"/>
      <c r="AHJ20" s="605"/>
      <c r="AHK20" s="605"/>
      <c r="AHL20" s="605"/>
      <c r="AHM20" s="605"/>
      <c r="AHN20" s="605"/>
      <c r="AHO20" s="605"/>
      <c r="AHP20" s="605"/>
      <c r="AHQ20" s="605"/>
      <c r="AHR20" s="605"/>
      <c r="AHS20" s="605"/>
      <c r="AHT20" s="605"/>
      <c r="AHU20" s="605"/>
      <c r="AHV20" s="605"/>
      <c r="AHW20" s="605"/>
      <c r="AHX20" s="605"/>
      <c r="AHY20" s="605"/>
      <c r="AHZ20" s="605"/>
      <c r="AIA20" s="605"/>
      <c r="AIB20" s="605"/>
      <c r="AIC20" s="605"/>
      <c r="AID20" s="605"/>
      <c r="AIE20" s="605"/>
      <c r="AIF20" s="605"/>
      <c r="AIG20" s="605"/>
      <c r="AIH20" s="605"/>
      <c r="AII20" s="605"/>
      <c r="AIJ20" s="605"/>
      <c r="AIK20" s="605"/>
      <c r="AIL20" s="605"/>
      <c r="AIM20" s="605"/>
      <c r="AIN20" s="605"/>
      <c r="AIO20" s="605"/>
      <c r="AIP20" s="605"/>
      <c r="AIQ20" s="605"/>
      <c r="AIR20" s="605"/>
      <c r="AIS20" s="605"/>
      <c r="AIT20" s="605"/>
      <c r="AIU20" s="605"/>
      <c r="AIV20" s="605"/>
      <c r="AIW20" s="605"/>
      <c r="AIX20" s="605"/>
      <c r="AIY20" s="605"/>
      <c r="AIZ20" s="605"/>
      <c r="AJA20" s="605"/>
      <c r="AJB20" s="605"/>
      <c r="AJC20" s="605"/>
      <c r="AJD20" s="605"/>
      <c r="AJE20" s="605"/>
      <c r="AJF20" s="605"/>
      <c r="AJG20" s="605"/>
      <c r="AJH20" s="605"/>
      <c r="AJI20" s="605"/>
      <c r="AJJ20" s="605"/>
      <c r="AJK20" s="605"/>
      <c r="AJL20" s="605"/>
      <c r="AJM20" s="605"/>
      <c r="AJN20" s="605"/>
      <c r="AJO20" s="605"/>
    </row>
    <row r="21" spans="1:951" x14ac:dyDescent="0.25">
      <c r="A21" s="92" t="s">
        <v>25</v>
      </c>
      <c r="B21" s="96">
        <v>0</v>
      </c>
      <c r="C21" s="96">
        <v>19145761.600000001</v>
      </c>
      <c r="D21" s="96">
        <v>24705553.699999999</v>
      </c>
      <c r="E21" s="96">
        <v>5727959</v>
      </c>
      <c r="F21" s="96">
        <v>30270544</v>
      </c>
      <c r="G21" s="96">
        <v>1632481</v>
      </c>
      <c r="H21" s="96">
        <v>1107026</v>
      </c>
      <c r="I21" s="96">
        <v>1440701.7290000001</v>
      </c>
      <c r="J21" s="96">
        <v>1623778</v>
      </c>
      <c r="K21" s="96"/>
      <c r="L21" s="96">
        <v>9592206.6319999993</v>
      </c>
      <c r="M21" s="96">
        <v>10444990.313999999</v>
      </c>
      <c r="N21" s="96">
        <v>11706693.389</v>
      </c>
      <c r="O21" s="96">
        <v>12439703</v>
      </c>
      <c r="P21" s="96">
        <v>11990045</v>
      </c>
      <c r="Q21" s="96">
        <v>0</v>
      </c>
      <c r="R21" s="96">
        <v>1007574.968</v>
      </c>
      <c r="S21" s="96">
        <v>1134923</v>
      </c>
      <c r="T21" s="96">
        <v>1276364</v>
      </c>
      <c r="U21" s="96">
        <v>1085539</v>
      </c>
      <c r="V21" s="96">
        <v>0</v>
      </c>
      <c r="W21" s="96">
        <v>0</v>
      </c>
      <c r="X21" s="96">
        <v>1687887</v>
      </c>
      <c r="Y21" s="96">
        <v>2949472</v>
      </c>
      <c r="Z21" s="96">
        <v>3050521</v>
      </c>
      <c r="AA21" s="96">
        <v>0</v>
      </c>
      <c r="AB21" s="96">
        <v>140740</v>
      </c>
      <c r="AC21" s="96">
        <v>894877</v>
      </c>
      <c r="AD21" s="96">
        <v>1662902</v>
      </c>
      <c r="AE21" s="96">
        <v>1351738</v>
      </c>
      <c r="AF21" s="96">
        <v>630504</v>
      </c>
      <c r="AG21" s="96">
        <v>2501794.9649999999</v>
      </c>
      <c r="AH21" s="96">
        <v>572210.31799999997</v>
      </c>
      <c r="AI21" s="96">
        <v>696484</v>
      </c>
      <c r="AJ21" s="96">
        <v>930233</v>
      </c>
      <c r="AK21" s="96">
        <v>0</v>
      </c>
      <c r="AL21" s="96">
        <v>876043</v>
      </c>
      <c r="AM21" s="96">
        <v>803639</v>
      </c>
      <c r="AN21" s="96">
        <v>657962</v>
      </c>
      <c r="AO21" s="96">
        <v>1075089</v>
      </c>
      <c r="AP21" s="96">
        <v>0</v>
      </c>
      <c r="AQ21" s="96">
        <v>115441</v>
      </c>
      <c r="AR21" s="96">
        <v>175874</v>
      </c>
      <c r="AS21" s="96">
        <v>336200</v>
      </c>
      <c r="AT21" s="96">
        <v>584433</v>
      </c>
      <c r="AU21" s="96">
        <v>308602</v>
      </c>
      <c r="AV21" s="96">
        <v>692738</v>
      </c>
      <c r="AW21" s="96">
        <v>778537</v>
      </c>
      <c r="AX21" s="96">
        <v>177455</v>
      </c>
      <c r="AY21" s="96"/>
      <c r="AZ21" s="96">
        <v>1272803.4990000001</v>
      </c>
      <c r="BA21" s="96">
        <v>1656005.4410000001</v>
      </c>
      <c r="BB21" s="96">
        <v>1236419</v>
      </c>
      <c r="BC21" s="96">
        <v>0</v>
      </c>
      <c r="BD21" s="96">
        <v>61600</v>
      </c>
      <c r="BE21" s="96">
        <v>0</v>
      </c>
      <c r="BF21" s="96">
        <v>1513481.43</v>
      </c>
      <c r="BG21" s="96">
        <v>2146050.469</v>
      </c>
      <c r="BH21" s="96">
        <v>2781293</v>
      </c>
      <c r="BI21" s="96">
        <v>3255987</v>
      </c>
      <c r="BJ21" s="96"/>
      <c r="BK21" s="96"/>
      <c r="BL21" s="96"/>
      <c r="BM21" s="96"/>
      <c r="BN21" s="96">
        <v>1851532</v>
      </c>
      <c r="BO21" s="96"/>
      <c r="BP21" s="96"/>
      <c r="BQ21" s="96">
        <v>369195</v>
      </c>
      <c r="BR21" s="96">
        <v>995583</v>
      </c>
      <c r="BS21" s="96">
        <v>1598698</v>
      </c>
      <c r="BT21" s="96">
        <v>276972.16700000002</v>
      </c>
      <c r="BU21" s="96">
        <v>173163.49299999999</v>
      </c>
      <c r="BV21" s="96">
        <v>257636</v>
      </c>
      <c r="BW21" s="96">
        <v>700000</v>
      </c>
      <c r="BX21" s="96">
        <v>9144</v>
      </c>
      <c r="BY21" s="96">
        <v>0</v>
      </c>
      <c r="BZ21" s="96">
        <v>5183476.977</v>
      </c>
      <c r="CA21" s="96">
        <v>3767227.7689999999</v>
      </c>
      <c r="CB21" s="96">
        <v>5861386</v>
      </c>
      <c r="CC21" s="96">
        <v>5358461</v>
      </c>
      <c r="CD21" s="96">
        <v>192281.5</v>
      </c>
      <c r="CE21" s="96">
        <v>152807.91500000001</v>
      </c>
      <c r="CF21" s="96">
        <v>44356.6</v>
      </c>
      <c r="CG21" s="96">
        <v>204299</v>
      </c>
      <c r="CH21" s="96">
        <v>468218</v>
      </c>
      <c r="CI21" s="96">
        <v>0</v>
      </c>
      <c r="CJ21" s="96">
        <v>0</v>
      </c>
      <c r="CK21" s="96">
        <v>2240.1759999999999</v>
      </c>
      <c r="CL21" s="96">
        <v>1378834</v>
      </c>
      <c r="CM21" s="96"/>
      <c r="CN21" s="96">
        <v>0</v>
      </c>
      <c r="CO21" s="96">
        <v>0</v>
      </c>
      <c r="CP21" s="96">
        <v>3134633.324</v>
      </c>
      <c r="CQ21" s="96">
        <v>2992604</v>
      </c>
      <c r="CR21" s="96">
        <v>3252446</v>
      </c>
      <c r="CS21" s="96">
        <v>0</v>
      </c>
      <c r="CT21" s="96">
        <v>155509</v>
      </c>
      <c r="CU21" s="96">
        <v>326451</v>
      </c>
      <c r="CV21" s="96">
        <v>0</v>
      </c>
      <c r="CW21" s="96">
        <v>516859</v>
      </c>
      <c r="CX21" s="96">
        <v>0</v>
      </c>
      <c r="CY21" s="96">
        <v>48740</v>
      </c>
      <c r="CZ21" s="96">
        <v>51240</v>
      </c>
      <c r="DA21" s="96">
        <v>67160</v>
      </c>
      <c r="DB21" s="96">
        <v>67200</v>
      </c>
      <c r="DC21" s="96">
        <v>27580</v>
      </c>
      <c r="DD21" s="96">
        <v>170124</v>
      </c>
      <c r="DE21" s="96">
        <v>186105</v>
      </c>
      <c r="DF21" s="96">
        <v>479213</v>
      </c>
      <c r="DG21" s="96">
        <v>612254</v>
      </c>
      <c r="DH21" s="96">
        <v>0</v>
      </c>
      <c r="DI21" s="96">
        <v>0</v>
      </c>
      <c r="DJ21" s="96"/>
      <c r="DK21" s="96"/>
      <c r="DL21" s="96">
        <v>0</v>
      </c>
      <c r="DM21" s="102">
        <v>3481277</v>
      </c>
      <c r="DN21" s="96">
        <v>2450366</v>
      </c>
      <c r="DO21" s="96">
        <v>4978176</v>
      </c>
      <c r="DP21" s="96">
        <v>6478161</v>
      </c>
      <c r="DQ21" s="96">
        <v>6029593</v>
      </c>
      <c r="DR21" s="96">
        <v>72303745.441</v>
      </c>
      <c r="DS21" s="96">
        <v>75056175.777999997</v>
      </c>
      <c r="DT21" s="96">
        <v>202173480.61700001</v>
      </c>
      <c r="DU21" s="96">
        <v>449365364</v>
      </c>
      <c r="DV21" s="96">
        <v>449520560</v>
      </c>
      <c r="DW21" s="96">
        <v>1046292.812</v>
      </c>
      <c r="DX21" s="96">
        <v>767649.98499999999</v>
      </c>
      <c r="DY21" s="96">
        <v>1371398.8859999999</v>
      </c>
      <c r="DZ21" s="96">
        <v>1616568</v>
      </c>
      <c r="EA21" s="96">
        <v>1331255</v>
      </c>
      <c r="EB21" s="96"/>
      <c r="EC21" s="96"/>
      <c r="ED21" s="96"/>
      <c r="EE21" s="96"/>
      <c r="EF21" s="96">
        <v>190058</v>
      </c>
      <c r="EG21" s="96"/>
      <c r="EH21" s="96"/>
      <c r="EI21" s="96"/>
      <c r="EJ21" s="96">
        <v>39810</v>
      </c>
      <c r="EK21" s="96"/>
      <c r="EL21" s="96"/>
      <c r="EM21" s="96"/>
      <c r="EN21" s="96"/>
      <c r="EO21" s="96">
        <v>327743</v>
      </c>
      <c r="EP21" s="96">
        <v>347278</v>
      </c>
      <c r="EQ21" s="96"/>
      <c r="ER21" s="96"/>
      <c r="ES21" s="96"/>
      <c r="ET21" s="96"/>
      <c r="EU21" s="96">
        <v>1483089</v>
      </c>
      <c r="EV21" s="96">
        <v>1533224</v>
      </c>
      <c r="EW21" s="96">
        <v>1329524</v>
      </c>
      <c r="EX21" s="96">
        <v>11990045</v>
      </c>
      <c r="EY21" s="96">
        <v>12500643</v>
      </c>
      <c r="EZ21" s="96">
        <v>1085539</v>
      </c>
      <c r="FA21" s="96">
        <v>1318445</v>
      </c>
      <c r="FB21" s="96">
        <v>1351738</v>
      </c>
      <c r="FC21" s="96">
        <v>1773587</v>
      </c>
      <c r="FD21" s="96">
        <v>930233</v>
      </c>
      <c r="FE21" s="96">
        <v>428042</v>
      </c>
      <c r="FF21" s="96">
        <v>1075089</v>
      </c>
      <c r="FG21" s="96">
        <v>972122</v>
      </c>
      <c r="FH21" s="96">
        <v>584433</v>
      </c>
      <c r="FI21" s="96"/>
      <c r="FJ21" s="96"/>
      <c r="FK21" s="96"/>
      <c r="FL21" s="96"/>
      <c r="FM21" s="96">
        <v>917161</v>
      </c>
      <c r="FN21" s="96">
        <v>1598698</v>
      </c>
      <c r="FO21" s="96">
        <v>1152001</v>
      </c>
      <c r="FP21" s="96">
        <v>3255987</v>
      </c>
      <c r="FQ21" s="96">
        <v>3646600</v>
      </c>
      <c r="FR21" s="96">
        <v>9144</v>
      </c>
      <c r="FS21" s="96"/>
      <c r="FT21" s="96">
        <v>61600</v>
      </c>
      <c r="FU21" s="96">
        <v>152850</v>
      </c>
      <c r="FV21" s="96">
        <v>5358461</v>
      </c>
      <c r="FW21" s="96">
        <v>4217551</v>
      </c>
      <c r="FX21" s="96">
        <v>190058</v>
      </c>
      <c r="FY21" s="96">
        <v>517861</v>
      </c>
      <c r="FZ21" s="96">
        <v>3050521</v>
      </c>
      <c r="GA21" s="96">
        <v>3395751</v>
      </c>
      <c r="GB21" s="96">
        <v>1851532</v>
      </c>
      <c r="GC21" s="96">
        <v>1766680</v>
      </c>
      <c r="GD21" s="96">
        <v>468218</v>
      </c>
      <c r="GE21" s="96">
        <v>998698</v>
      </c>
      <c r="GF21" s="96"/>
      <c r="GG21" s="96"/>
      <c r="GH21" s="96">
        <v>3252446</v>
      </c>
      <c r="GI21" s="96">
        <v>3190772</v>
      </c>
      <c r="GJ21" s="96">
        <v>43000</v>
      </c>
      <c r="GK21" s="96">
        <v>58700</v>
      </c>
      <c r="GL21" s="96">
        <v>23920221</v>
      </c>
      <c r="GM21" s="96">
        <v>19176773</v>
      </c>
      <c r="GN21" s="96">
        <v>6566488</v>
      </c>
      <c r="GO21" s="96">
        <v>4492367</v>
      </c>
      <c r="GP21" s="96"/>
      <c r="GQ21" s="96"/>
      <c r="GR21" s="96"/>
      <c r="GS21" s="96"/>
      <c r="GT21" s="96">
        <v>3757247</v>
      </c>
      <c r="GU21" s="96">
        <v>2742591</v>
      </c>
      <c r="GV21" s="96"/>
      <c r="GW21" s="96"/>
      <c r="GX21" s="96">
        <v>1923383</v>
      </c>
      <c r="GY21" s="96">
        <v>965366</v>
      </c>
      <c r="GZ21" s="96">
        <v>52361180</v>
      </c>
      <c r="HA21" s="96">
        <v>69565160</v>
      </c>
      <c r="HB21" s="96">
        <v>5835395</v>
      </c>
      <c r="HC21" s="96">
        <v>5976809</v>
      </c>
      <c r="HD21" s="96">
        <v>1965392</v>
      </c>
      <c r="HE21" s="96">
        <v>1892636</v>
      </c>
      <c r="HF21" s="96">
        <v>10648504</v>
      </c>
      <c r="HG21" s="96">
        <v>9735271</v>
      </c>
      <c r="HH21" s="96">
        <v>182998919</v>
      </c>
      <c r="HI21" s="96">
        <v>222520247</v>
      </c>
      <c r="HJ21" s="96">
        <v>4327184</v>
      </c>
      <c r="HK21" s="96">
        <v>3508417</v>
      </c>
      <c r="HL21" s="96">
        <v>1702786</v>
      </c>
      <c r="HM21" s="96">
        <v>16761001</v>
      </c>
      <c r="HN21" s="96">
        <v>748156</v>
      </c>
      <c r="HO21" s="96">
        <v>881056</v>
      </c>
      <c r="HP21" s="96">
        <v>23205</v>
      </c>
      <c r="HQ21" s="96">
        <v>334449</v>
      </c>
      <c r="HR21" s="96">
        <v>3881596</v>
      </c>
      <c r="HS21" s="96">
        <v>3918364</v>
      </c>
      <c r="HT21" s="96"/>
      <c r="HU21" s="96"/>
      <c r="HV21" s="96">
        <v>347278</v>
      </c>
      <c r="HW21" s="96">
        <v>217097</v>
      </c>
      <c r="HX21" s="96">
        <v>8753780</v>
      </c>
      <c r="HY21" s="96">
        <v>10943254</v>
      </c>
      <c r="HZ21" s="96">
        <v>10802888</v>
      </c>
      <c r="IA21" s="96">
        <v>13171157</v>
      </c>
      <c r="IB21" s="96">
        <v>4412019</v>
      </c>
      <c r="IC21" s="96">
        <v>4272436</v>
      </c>
      <c r="ID21" s="96">
        <v>29010128</v>
      </c>
      <c r="IE21" s="96">
        <v>23061334</v>
      </c>
      <c r="IF21" s="96">
        <v>7960672</v>
      </c>
      <c r="IG21" s="96">
        <v>9180646</v>
      </c>
      <c r="IH21" s="96">
        <v>1213466</v>
      </c>
      <c r="II21" s="96">
        <v>1393353</v>
      </c>
      <c r="IJ21" s="96">
        <v>7001162</v>
      </c>
      <c r="IK21" s="96">
        <v>8095210</v>
      </c>
      <c r="IL21" s="96">
        <v>1483089</v>
      </c>
      <c r="IM21" s="96">
        <v>3282084</v>
      </c>
      <c r="IN21" s="96"/>
      <c r="IO21" s="96"/>
      <c r="IP21" s="96">
        <v>67200</v>
      </c>
      <c r="IQ21" s="96">
        <v>68200</v>
      </c>
      <c r="IR21" s="96">
        <v>612254</v>
      </c>
      <c r="IS21" s="96">
        <v>197010</v>
      </c>
      <c r="IT21" s="96">
        <v>0</v>
      </c>
      <c r="IU21" s="96">
        <v>364079</v>
      </c>
      <c r="IV21" s="96">
        <v>6029593</v>
      </c>
      <c r="IW21" s="96">
        <v>6029593</v>
      </c>
      <c r="IX21" s="96">
        <v>449520560</v>
      </c>
      <c r="IY21" s="96">
        <v>474996956</v>
      </c>
      <c r="IZ21" s="96">
        <v>1331255</v>
      </c>
      <c r="JA21" s="96">
        <v>1475621</v>
      </c>
      <c r="JB21" s="96">
        <v>1329524</v>
      </c>
      <c r="JC21" s="96">
        <v>1481676</v>
      </c>
      <c r="JD21" s="96">
        <v>12500643</v>
      </c>
      <c r="JE21" s="96">
        <v>11152439</v>
      </c>
      <c r="JF21" s="96">
        <v>1318445</v>
      </c>
      <c r="JG21" s="96">
        <v>1250923</v>
      </c>
      <c r="JH21" s="96">
        <v>1773587</v>
      </c>
      <c r="JI21" s="96">
        <v>1806194</v>
      </c>
      <c r="JJ21" s="96">
        <v>428042</v>
      </c>
      <c r="JK21" s="96">
        <v>871278</v>
      </c>
      <c r="JL21" s="96">
        <v>972122</v>
      </c>
      <c r="JM21" s="96">
        <v>1069119</v>
      </c>
      <c r="JN21" s="96">
        <v>560208</v>
      </c>
      <c r="JO21" s="96"/>
      <c r="JP21" s="96"/>
      <c r="JQ21" s="96"/>
      <c r="JR21" s="96">
        <v>917161</v>
      </c>
      <c r="JS21" s="96">
        <v>769871</v>
      </c>
      <c r="JT21" s="96">
        <v>1152001</v>
      </c>
      <c r="JU21" s="96">
        <v>961125</v>
      </c>
      <c r="JV21" s="96">
        <v>3646600</v>
      </c>
      <c r="JW21" s="96">
        <v>2952875</v>
      </c>
      <c r="JX21" s="96"/>
      <c r="JY21" s="96"/>
      <c r="JZ21" s="96">
        <v>152850</v>
      </c>
      <c r="KA21" s="96">
        <v>920809</v>
      </c>
      <c r="KB21" s="96">
        <v>4217551</v>
      </c>
      <c r="KC21" s="96">
        <v>3269583</v>
      </c>
      <c r="KD21" s="96">
        <v>517861</v>
      </c>
      <c r="KE21" s="96">
        <v>618740</v>
      </c>
      <c r="KF21" s="96">
        <v>3395751</v>
      </c>
      <c r="KG21" s="96">
        <v>2513948</v>
      </c>
      <c r="KH21" s="96">
        <v>1766680</v>
      </c>
      <c r="KI21" s="96"/>
      <c r="KJ21" s="96">
        <v>998698</v>
      </c>
      <c r="KK21" s="96">
        <v>1217538</v>
      </c>
      <c r="KL21" s="96">
        <v>515000</v>
      </c>
      <c r="KM21" s="96"/>
      <c r="KN21" s="96">
        <v>3190772</v>
      </c>
      <c r="KO21" s="96">
        <v>2968612</v>
      </c>
      <c r="KP21" s="96">
        <v>58700</v>
      </c>
      <c r="KQ21" s="96"/>
      <c r="KR21" s="96">
        <v>19176773</v>
      </c>
      <c r="KS21" s="96">
        <v>14475375</v>
      </c>
      <c r="KT21" s="96">
        <v>4492367</v>
      </c>
      <c r="KU21" s="96">
        <v>1698938</v>
      </c>
      <c r="KV21" s="96"/>
      <c r="KW21" s="96"/>
      <c r="KX21" s="96"/>
      <c r="KY21" s="96"/>
      <c r="KZ21" s="96">
        <v>2742591</v>
      </c>
      <c r="LA21" s="96">
        <v>2508366</v>
      </c>
      <c r="LB21" s="96"/>
      <c r="LC21" s="96">
        <v>330780</v>
      </c>
      <c r="LD21" s="96">
        <v>965366</v>
      </c>
      <c r="LE21" s="96">
        <v>2122809</v>
      </c>
      <c r="LF21" s="96">
        <v>69565160</v>
      </c>
      <c r="LG21" s="96">
        <v>54147447</v>
      </c>
      <c r="LH21" s="96">
        <v>5976809</v>
      </c>
      <c r="LI21" s="96">
        <v>6643895</v>
      </c>
      <c r="LJ21" s="96">
        <v>1892636</v>
      </c>
      <c r="LK21" s="96">
        <v>2128318</v>
      </c>
      <c r="LL21" s="96">
        <v>9735271</v>
      </c>
      <c r="LM21" s="96">
        <v>4859113</v>
      </c>
      <c r="LN21" s="96">
        <v>222520247</v>
      </c>
      <c r="LO21" s="96">
        <v>212191561</v>
      </c>
      <c r="LP21" s="96">
        <v>3508417</v>
      </c>
      <c r="LQ21" s="96">
        <v>131930</v>
      </c>
      <c r="LR21" s="96">
        <v>16761001</v>
      </c>
      <c r="LS21" s="96">
        <v>27734000</v>
      </c>
      <c r="LT21" s="96">
        <v>881056</v>
      </c>
      <c r="LU21" s="96">
        <v>641186</v>
      </c>
      <c r="LV21" s="96">
        <v>334449</v>
      </c>
      <c r="LW21" s="96">
        <v>295440</v>
      </c>
      <c r="LX21" s="96">
        <v>3918364</v>
      </c>
      <c r="LY21" s="96">
        <v>8988816</v>
      </c>
      <c r="LZ21" s="96"/>
      <c r="MA21" s="96"/>
      <c r="MB21" s="96">
        <v>217097</v>
      </c>
      <c r="MC21" s="96">
        <v>343797</v>
      </c>
      <c r="MD21" s="96">
        <v>10943254</v>
      </c>
      <c r="ME21" s="96">
        <v>6305291</v>
      </c>
      <c r="MF21" s="96">
        <v>13171157</v>
      </c>
      <c r="MG21" s="96">
        <v>18348310</v>
      </c>
      <c r="MH21" s="96">
        <v>4272436</v>
      </c>
      <c r="MI21" s="96">
        <v>3928507</v>
      </c>
      <c r="MJ21" s="96">
        <v>23061334</v>
      </c>
      <c r="MK21" s="96">
        <v>24786049</v>
      </c>
      <c r="ML21" s="96">
        <v>9180646</v>
      </c>
      <c r="MM21" s="96">
        <v>7027432</v>
      </c>
      <c r="MN21" s="96">
        <v>1393353</v>
      </c>
      <c r="MO21" s="96">
        <v>2082817</v>
      </c>
      <c r="MP21" s="96">
        <v>8095210</v>
      </c>
      <c r="MQ21" s="96">
        <v>11078672</v>
      </c>
      <c r="MR21" s="96">
        <v>3282084</v>
      </c>
      <c r="MS21" s="96">
        <v>4948635</v>
      </c>
      <c r="MT21" s="96">
        <v>427684</v>
      </c>
      <c r="MU21" s="96">
        <v>482360</v>
      </c>
      <c r="MV21" s="96">
        <v>68200</v>
      </c>
      <c r="MW21" s="96">
        <v>147525</v>
      </c>
      <c r="MX21" s="96">
        <v>197010</v>
      </c>
      <c r="MY21" s="96">
        <v>49700</v>
      </c>
      <c r="MZ21" s="96">
        <v>364079</v>
      </c>
      <c r="NA21" s="96">
        <v>562652</v>
      </c>
      <c r="NB21" s="96">
        <v>6029593</v>
      </c>
      <c r="NC21" s="96">
        <v>5950581</v>
      </c>
      <c r="ND21" s="96">
        <v>474996956</v>
      </c>
      <c r="NE21" s="96">
        <v>180645783</v>
      </c>
      <c r="NF21" s="96">
        <v>1475621</v>
      </c>
      <c r="NG21" s="96">
        <v>1739977</v>
      </c>
      <c r="NH21" s="391">
        <v>1481676</v>
      </c>
      <c r="NI21" s="391">
        <v>976261</v>
      </c>
      <c r="NJ21" s="391">
        <v>15434114</v>
      </c>
      <c r="NK21" s="391">
        <v>8833531</v>
      </c>
      <c r="NL21" s="391">
        <v>1250923</v>
      </c>
      <c r="NM21" s="391">
        <v>597683</v>
      </c>
      <c r="NN21" s="391">
        <v>1806194</v>
      </c>
      <c r="NO21" s="391">
        <v>2127804</v>
      </c>
      <c r="NP21" s="391">
        <v>871278</v>
      </c>
      <c r="NQ21" s="391">
        <v>1000386</v>
      </c>
      <c r="NR21" s="391">
        <v>1069119</v>
      </c>
      <c r="NS21" s="391">
        <v>1033586</v>
      </c>
      <c r="NT21" s="391">
        <v>560208</v>
      </c>
      <c r="NU21" s="391"/>
      <c r="NV21" s="391"/>
      <c r="NW21" s="391"/>
      <c r="NX21" s="391">
        <v>769871</v>
      </c>
      <c r="NY21" s="391">
        <v>1116823</v>
      </c>
      <c r="NZ21" s="391">
        <v>961125</v>
      </c>
      <c r="OA21" s="391">
        <v>1155114</v>
      </c>
      <c r="OB21" s="391">
        <v>2952875</v>
      </c>
      <c r="OC21" s="391">
        <v>1904608</v>
      </c>
      <c r="OD21" s="391"/>
      <c r="OE21" s="391"/>
      <c r="OF21" s="391">
        <v>920809</v>
      </c>
      <c r="OG21" s="391">
        <v>992150</v>
      </c>
      <c r="OH21" s="391">
        <v>3269583</v>
      </c>
      <c r="OI21" s="391">
        <v>2362509</v>
      </c>
      <c r="OJ21" s="391">
        <v>618740</v>
      </c>
      <c r="OK21" s="391">
        <v>1474250</v>
      </c>
      <c r="OL21" s="391">
        <v>2513948</v>
      </c>
      <c r="OM21" s="391">
        <v>1968609</v>
      </c>
      <c r="ON21" s="391"/>
      <c r="OO21" s="391">
        <v>2053955</v>
      </c>
      <c r="OP21" s="391">
        <v>1217538</v>
      </c>
      <c r="OQ21" s="391">
        <v>563549</v>
      </c>
      <c r="OR21" s="391"/>
      <c r="OS21" s="391"/>
      <c r="OT21" s="391">
        <v>2968612</v>
      </c>
      <c r="OU21" s="391">
        <v>1814182</v>
      </c>
      <c r="OV21" s="391"/>
      <c r="OW21" s="391">
        <v>433878</v>
      </c>
      <c r="OX21" s="391">
        <v>14475375</v>
      </c>
      <c r="OY21" s="391">
        <v>21012981</v>
      </c>
      <c r="OZ21" s="391">
        <v>1698938</v>
      </c>
      <c r="PA21" s="391">
        <v>462387</v>
      </c>
      <c r="PB21" s="391">
        <v>144200</v>
      </c>
      <c r="PC21" s="391">
        <v>151410</v>
      </c>
      <c r="PD21" s="391"/>
      <c r="PE21" s="391"/>
      <c r="PF21" s="391">
        <v>2508366</v>
      </c>
      <c r="PG21" s="391">
        <v>3029251</v>
      </c>
      <c r="PH21" s="391">
        <v>330780</v>
      </c>
      <c r="PI21" s="391"/>
      <c r="PJ21" s="391">
        <v>2122809</v>
      </c>
      <c r="PK21" s="391">
        <v>2614835</v>
      </c>
      <c r="PL21" s="391">
        <f>54147448+7122667</f>
        <v>61270115</v>
      </c>
      <c r="PM21" s="391">
        <f>44448927+13747247</f>
        <v>58196174</v>
      </c>
      <c r="PN21" s="391">
        <v>6643895</v>
      </c>
      <c r="PO21" s="391">
        <v>8545077</v>
      </c>
      <c r="PP21" s="391">
        <v>2128318</v>
      </c>
      <c r="PQ21" s="391">
        <v>1636853</v>
      </c>
      <c r="PR21" s="391">
        <v>4859113</v>
      </c>
      <c r="PS21" s="391">
        <v>3004039</v>
      </c>
      <c r="PT21" s="391">
        <f>212191561+778389</f>
        <v>212969950</v>
      </c>
      <c r="PU21" s="391">
        <f>228608409+1076643</f>
        <v>229685052</v>
      </c>
      <c r="PV21" s="391">
        <v>3508417</v>
      </c>
      <c r="PW21" s="391">
        <v>131930</v>
      </c>
      <c r="PX21" s="391">
        <v>29977000</v>
      </c>
      <c r="PY21" s="391">
        <v>35037000</v>
      </c>
      <c r="PZ21" s="391">
        <v>641186</v>
      </c>
      <c r="QA21" s="391">
        <v>870614</v>
      </c>
      <c r="QB21" s="391">
        <v>295440</v>
      </c>
      <c r="QC21" s="391">
        <v>909094</v>
      </c>
      <c r="QD21" s="391">
        <v>8988816</v>
      </c>
      <c r="QE21" s="391">
        <v>8366627</v>
      </c>
      <c r="QF21" s="391"/>
      <c r="QG21" s="391"/>
      <c r="QH21" s="391">
        <v>343797</v>
      </c>
      <c r="QI21" s="391">
        <v>365551</v>
      </c>
      <c r="QJ21" s="391">
        <v>6305291</v>
      </c>
      <c r="QK21" s="391">
        <v>4558062</v>
      </c>
      <c r="QL21" s="391">
        <v>18348310</v>
      </c>
      <c r="QM21" s="391">
        <v>21307058</v>
      </c>
      <c r="QN21" s="391">
        <v>4272436</v>
      </c>
      <c r="QO21" s="391">
        <v>3928507</v>
      </c>
      <c r="QP21" s="391">
        <v>24786049</v>
      </c>
      <c r="QQ21" s="391">
        <v>29820659</v>
      </c>
      <c r="QR21" s="391">
        <v>7027432</v>
      </c>
      <c r="QS21" s="391">
        <v>7967092</v>
      </c>
      <c r="QT21" s="391">
        <v>2082817</v>
      </c>
      <c r="QU21" s="391">
        <v>1218895</v>
      </c>
      <c r="QV21" s="391">
        <v>8095210</v>
      </c>
      <c r="QW21" s="391">
        <v>11078672</v>
      </c>
      <c r="QX21" s="391">
        <v>4441615</v>
      </c>
      <c r="QY21" s="391">
        <v>3586533</v>
      </c>
      <c r="QZ21" s="391">
        <f>482360-QZ22</f>
        <v>427684</v>
      </c>
      <c r="RA21" s="391">
        <v>482360</v>
      </c>
      <c r="RB21" s="391">
        <v>147525</v>
      </c>
      <c r="RC21" s="391">
        <v>264750</v>
      </c>
      <c r="RD21" s="391">
        <v>197010</v>
      </c>
      <c r="RE21" s="391">
        <v>49700</v>
      </c>
      <c r="RF21" s="391">
        <v>562652</v>
      </c>
      <c r="RG21" s="391"/>
      <c r="RH21" s="391">
        <v>6029593</v>
      </c>
      <c r="RI21" s="391">
        <v>5950581</v>
      </c>
      <c r="RJ21" s="391">
        <v>175960529</v>
      </c>
      <c r="RK21" s="391">
        <v>87334134</v>
      </c>
      <c r="RL21" s="391">
        <v>1739977</v>
      </c>
      <c r="RM21" s="391">
        <v>1739977</v>
      </c>
      <c r="RN21" s="96">
        <v>1006604</v>
      </c>
      <c r="RO21" s="96">
        <v>987408</v>
      </c>
      <c r="RP21" s="96">
        <v>8833531</v>
      </c>
      <c r="RQ21" s="96">
        <v>10008783</v>
      </c>
      <c r="RR21" s="96">
        <v>597683</v>
      </c>
      <c r="RS21" s="96">
        <v>820485</v>
      </c>
      <c r="RT21" s="96">
        <v>2127803</v>
      </c>
      <c r="RU21" s="96">
        <v>2164492</v>
      </c>
      <c r="RV21" s="96">
        <v>1000386</v>
      </c>
      <c r="RW21" s="96">
        <v>828883</v>
      </c>
      <c r="RX21" s="96">
        <v>1033693</v>
      </c>
      <c r="RY21" s="96">
        <v>290685</v>
      </c>
      <c r="RZ21" s="96"/>
      <c r="SA21" s="96"/>
      <c r="SB21" s="96"/>
      <c r="SC21" s="96"/>
      <c r="SD21" s="96">
        <v>1116823</v>
      </c>
      <c r="SE21" s="96">
        <v>906429</v>
      </c>
      <c r="SF21" s="96">
        <v>1154474</v>
      </c>
      <c r="SG21" s="96">
        <v>1476125</v>
      </c>
      <c r="SH21" s="96">
        <v>1904608</v>
      </c>
      <c r="SI21" s="96">
        <v>1882010</v>
      </c>
      <c r="SJ21" s="96"/>
      <c r="SK21" s="96"/>
      <c r="SL21" s="96">
        <v>992150</v>
      </c>
      <c r="SM21" s="96">
        <v>1334197</v>
      </c>
      <c r="SN21" s="96">
        <v>2362509</v>
      </c>
      <c r="SO21" s="96">
        <v>1368025</v>
      </c>
      <c r="SP21" s="96">
        <v>1474250</v>
      </c>
      <c r="SQ21" s="96">
        <v>1282581</v>
      </c>
      <c r="SR21" s="96">
        <v>2584982</v>
      </c>
      <c r="SS21" s="96">
        <v>2708563</v>
      </c>
      <c r="ST21" s="96">
        <v>2053955</v>
      </c>
      <c r="SU21" s="96"/>
      <c r="SV21" s="96">
        <v>570476</v>
      </c>
      <c r="SW21" s="96">
        <v>1681956</v>
      </c>
      <c r="SX21" s="96"/>
      <c r="SY21" s="96">
        <v>240000</v>
      </c>
      <c r="SZ21" s="96">
        <v>1814182</v>
      </c>
      <c r="TA21" s="96">
        <v>1665878</v>
      </c>
      <c r="TB21" s="96">
        <v>433878</v>
      </c>
      <c r="TC21" s="96"/>
      <c r="TD21" s="96">
        <v>16853930</v>
      </c>
      <c r="TE21" s="96">
        <v>19146470</v>
      </c>
      <c r="TF21" s="96">
        <v>462387</v>
      </c>
      <c r="TG21" s="96">
        <v>262784</v>
      </c>
      <c r="TH21" s="96">
        <v>103700</v>
      </c>
      <c r="TI21" s="96">
        <v>216550</v>
      </c>
      <c r="TJ21" s="96"/>
      <c r="TK21" s="96"/>
      <c r="TL21" s="96">
        <v>3444602</v>
      </c>
      <c r="TM21" s="96">
        <v>2785545</v>
      </c>
      <c r="TN21" s="96"/>
      <c r="TO21" s="96">
        <v>350679</v>
      </c>
      <c r="TP21" s="96">
        <v>2614834</v>
      </c>
      <c r="TQ21" s="96">
        <v>1887213</v>
      </c>
      <c r="TR21" s="96">
        <v>58196174</v>
      </c>
      <c r="TS21" s="96">
        <v>43422182</v>
      </c>
      <c r="TT21" s="96">
        <v>8545077</v>
      </c>
      <c r="TU21" s="96">
        <v>7904128</v>
      </c>
      <c r="TV21" s="96">
        <v>2178883000</v>
      </c>
      <c r="TW21" s="96">
        <v>1245155000</v>
      </c>
      <c r="TX21" s="96">
        <v>3004039</v>
      </c>
      <c r="TY21" s="96">
        <v>3068240</v>
      </c>
      <c r="TZ21" s="96">
        <v>229685052</v>
      </c>
      <c r="UA21" s="96">
        <v>188108667</v>
      </c>
      <c r="UB21" s="96">
        <v>131930</v>
      </c>
      <c r="UC21" s="96"/>
      <c r="UD21" s="96">
        <v>35037000</v>
      </c>
      <c r="UE21" s="96">
        <v>39876000</v>
      </c>
      <c r="UF21" s="96">
        <v>870614</v>
      </c>
      <c r="UG21" s="96">
        <v>1321001</v>
      </c>
      <c r="UH21" s="96">
        <v>1212836</v>
      </c>
      <c r="UI21" s="96">
        <v>2250604</v>
      </c>
      <c r="UJ21" s="96">
        <v>8366627</v>
      </c>
      <c r="UK21" s="96">
        <v>6697076</v>
      </c>
      <c r="UL21" s="96"/>
      <c r="UM21" s="96"/>
      <c r="UN21" s="96">
        <v>365551</v>
      </c>
      <c r="UO21" s="96">
        <v>523457</v>
      </c>
      <c r="UP21" s="96">
        <v>4653582</v>
      </c>
      <c r="UQ21" s="96">
        <v>4037804</v>
      </c>
      <c r="UR21" s="96">
        <v>21307058</v>
      </c>
      <c r="US21" s="96">
        <v>26955884</v>
      </c>
      <c r="UT21" s="96">
        <v>3928507</v>
      </c>
      <c r="UU21" s="96"/>
      <c r="UV21" s="96">
        <v>29820659</v>
      </c>
      <c r="UW21" s="96">
        <v>25914602</v>
      </c>
      <c r="UX21" s="99">
        <v>7851703</v>
      </c>
      <c r="UY21" s="99">
        <v>8057504</v>
      </c>
      <c r="UZ21" s="96">
        <v>1218895</v>
      </c>
      <c r="VA21" s="96">
        <v>497219</v>
      </c>
      <c r="VB21" s="96">
        <v>669537</v>
      </c>
      <c r="VC21" s="96">
        <v>3413568</v>
      </c>
      <c r="VD21" s="96">
        <v>3586533</v>
      </c>
      <c r="VE21" s="96">
        <v>3873970</v>
      </c>
      <c r="VF21" s="96">
        <v>482360</v>
      </c>
      <c r="VG21" s="96"/>
      <c r="VH21" s="99">
        <v>264750</v>
      </c>
      <c r="VI21" s="96">
        <v>141750</v>
      </c>
      <c r="VJ21" s="96">
        <v>65474</v>
      </c>
      <c r="VK21" s="96">
        <v>72718</v>
      </c>
      <c r="VL21" s="96"/>
      <c r="VM21" s="99">
        <v>366191</v>
      </c>
      <c r="VN21" s="96">
        <v>5950581</v>
      </c>
      <c r="VO21" s="96"/>
      <c r="VP21" s="96">
        <v>87334134</v>
      </c>
      <c r="VQ21" s="96">
        <v>50629585</v>
      </c>
      <c r="VR21" s="96">
        <v>1739977</v>
      </c>
      <c r="VS21" s="96">
        <v>801466</v>
      </c>
      <c r="VT21" s="96">
        <v>987408</v>
      </c>
      <c r="VU21" s="96">
        <v>791459</v>
      </c>
      <c r="VV21" s="96">
        <v>10008783</v>
      </c>
      <c r="VW21" s="96">
        <v>5659705</v>
      </c>
      <c r="VX21" s="96">
        <v>820485</v>
      </c>
      <c r="VY21" s="96">
        <v>700467</v>
      </c>
      <c r="VZ21" s="96">
        <v>2164492</v>
      </c>
      <c r="WA21" s="96">
        <v>2206173</v>
      </c>
      <c r="WB21" s="96">
        <v>828883</v>
      </c>
      <c r="WC21" s="96">
        <v>1067780</v>
      </c>
      <c r="WD21" s="96">
        <v>290685</v>
      </c>
      <c r="WE21" s="96">
        <v>336827</v>
      </c>
      <c r="WF21" s="96"/>
      <c r="WG21" s="96"/>
      <c r="WH21" s="96"/>
      <c r="WI21" s="96"/>
      <c r="WJ21" s="96">
        <v>906429</v>
      </c>
      <c r="WK21" s="96">
        <v>898462</v>
      </c>
      <c r="WL21" s="96">
        <v>1476125</v>
      </c>
      <c r="WM21" s="96">
        <v>1755404</v>
      </c>
      <c r="WN21" s="96">
        <v>1882010</v>
      </c>
      <c r="WO21" s="96">
        <v>2384333</v>
      </c>
      <c r="WP21" s="96"/>
      <c r="WQ21" s="96"/>
      <c r="WR21" s="96">
        <v>1394197</v>
      </c>
      <c r="WS21" s="96">
        <v>2402310</v>
      </c>
      <c r="WT21" s="96">
        <v>1368025</v>
      </c>
      <c r="WU21" s="96">
        <v>874226</v>
      </c>
      <c r="WV21" s="96">
        <v>1282581</v>
      </c>
      <c r="WW21" s="96">
        <v>770673</v>
      </c>
      <c r="WX21" s="96">
        <v>2708563</v>
      </c>
      <c r="WY21" s="96">
        <v>1259026</v>
      </c>
      <c r="WZ21" s="96"/>
      <c r="XA21" s="96">
        <v>321270</v>
      </c>
      <c r="XB21" s="96">
        <v>1681956</v>
      </c>
      <c r="XC21" s="96">
        <v>2059202</v>
      </c>
      <c r="XD21" s="96">
        <v>240000</v>
      </c>
      <c r="XE21" s="96">
        <v>361056</v>
      </c>
      <c r="XF21" s="96">
        <v>1665878</v>
      </c>
      <c r="XG21" s="96">
        <v>1522753</v>
      </c>
      <c r="XH21" s="96">
        <v>116062</v>
      </c>
      <c r="XI21" s="96">
        <v>214857</v>
      </c>
      <c r="XJ21" s="96">
        <v>19146470</v>
      </c>
      <c r="XK21" s="96">
        <v>30907584</v>
      </c>
      <c r="XL21" s="96">
        <v>262784</v>
      </c>
      <c r="XM21" s="96">
        <v>216266</v>
      </c>
      <c r="XN21" s="96"/>
      <c r="XO21" s="96"/>
      <c r="XP21" s="96"/>
      <c r="XQ21" s="96"/>
      <c r="XR21" s="96">
        <v>2785545</v>
      </c>
      <c r="XS21" s="96">
        <v>2862034</v>
      </c>
      <c r="XT21" s="96">
        <v>350679</v>
      </c>
      <c r="XU21" s="96">
        <v>835897</v>
      </c>
      <c r="XV21" s="96">
        <v>1887213</v>
      </c>
      <c r="XW21" s="96">
        <v>1873148</v>
      </c>
      <c r="XX21" s="96">
        <v>43422182</v>
      </c>
      <c r="XY21" s="96">
        <v>41679601</v>
      </c>
      <c r="XZ21" s="96">
        <v>7904127</v>
      </c>
      <c r="YA21" s="96">
        <v>8443579</v>
      </c>
      <c r="YB21" s="96">
        <v>1245155</v>
      </c>
      <c r="YC21" s="96">
        <v>1689667</v>
      </c>
      <c r="YD21" s="96">
        <v>3068240</v>
      </c>
      <c r="YE21" s="96">
        <v>3013323</v>
      </c>
      <c r="YF21" s="96">
        <v>188108667</v>
      </c>
      <c r="YG21" s="96">
        <v>108720350</v>
      </c>
      <c r="YH21" s="96"/>
      <c r="YI21" s="96"/>
      <c r="YJ21" s="96">
        <v>39876000</v>
      </c>
      <c r="YK21" s="96"/>
      <c r="YL21" s="96">
        <v>1320119984</v>
      </c>
      <c r="YM21" s="96">
        <v>1955700951</v>
      </c>
      <c r="YN21" s="96">
        <v>2250604</v>
      </c>
      <c r="YO21" s="96">
        <v>3909515</v>
      </c>
      <c r="YP21" s="96">
        <v>6697076</v>
      </c>
      <c r="YQ21" s="96">
        <v>7566315</v>
      </c>
      <c r="YR21" s="96"/>
      <c r="YS21" s="96"/>
      <c r="YT21" s="96">
        <v>523457</v>
      </c>
      <c r="YU21" s="96">
        <v>2203959</v>
      </c>
      <c r="YV21" s="96">
        <v>4037804</v>
      </c>
      <c r="YW21" s="96">
        <v>3181139</v>
      </c>
      <c r="YX21" s="96">
        <v>26955884</v>
      </c>
      <c r="YY21" s="96">
        <v>38552452</v>
      </c>
      <c r="YZ21" s="96">
        <v>1630769</v>
      </c>
      <c r="ZA21" s="96">
        <v>1155977</v>
      </c>
      <c r="ZB21" s="96">
        <v>25914602</v>
      </c>
      <c r="ZC21" s="96">
        <v>26761934</v>
      </c>
      <c r="ZD21" s="99">
        <v>8057504</v>
      </c>
      <c r="ZE21" s="99">
        <v>6148383</v>
      </c>
      <c r="ZF21" s="96">
        <v>497219</v>
      </c>
      <c r="ZG21" s="96">
        <v>455897</v>
      </c>
      <c r="ZH21" s="96">
        <v>3413568</v>
      </c>
      <c r="ZI21" s="96">
        <v>8253929</v>
      </c>
      <c r="ZJ21" s="96">
        <v>3873970</v>
      </c>
      <c r="ZK21" s="96">
        <v>3440962</v>
      </c>
      <c r="ZL21" s="96"/>
      <c r="ZM21" s="96"/>
      <c r="ZN21" s="99">
        <v>141750</v>
      </c>
      <c r="ZO21" s="96">
        <v>291900</v>
      </c>
      <c r="ZP21" s="96">
        <v>72718</v>
      </c>
      <c r="ZQ21" s="96"/>
      <c r="ZR21" s="96">
        <v>366191</v>
      </c>
      <c r="ZS21" s="99">
        <v>148469</v>
      </c>
      <c r="ZT21" s="96"/>
      <c r="ZU21" s="96"/>
      <c r="ZV21" s="96">
        <v>50629585</v>
      </c>
      <c r="ZW21" s="96">
        <v>40809885</v>
      </c>
      <c r="ZX21" s="96">
        <v>801466</v>
      </c>
      <c r="ZY21" s="96">
        <v>352800</v>
      </c>
      <c r="ZZ21" s="737">
        <v>1505281</v>
      </c>
      <c r="AAA21" s="737">
        <v>111185</v>
      </c>
      <c r="AAB21" s="737">
        <v>3728999</v>
      </c>
      <c r="AAC21" s="737">
        <v>3506121</v>
      </c>
      <c r="AAD21" s="737">
        <v>1116621</v>
      </c>
      <c r="AAE21" s="737">
        <v>931497</v>
      </c>
      <c r="AAF21" s="737">
        <v>505838</v>
      </c>
      <c r="AAG21" s="737">
        <v>156911</v>
      </c>
      <c r="AAH21" s="737">
        <v>605447</v>
      </c>
      <c r="AAI21" s="737">
        <v>225609</v>
      </c>
      <c r="AAJ21" s="737">
        <v>1287314</v>
      </c>
      <c r="AAK21" s="737">
        <v>438781</v>
      </c>
      <c r="AAL21" s="737">
        <v>1307977</v>
      </c>
      <c r="AAM21" s="737">
        <v>863300</v>
      </c>
      <c r="AAN21" s="737">
        <v>4195327</v>
      </c>
      <c r="AAO21" s="737">
        <v>1693056</v>
      </c>
      <c r="AAP21" s="737">
        <v>550926</v>
      </c>
      <c r="AAQ21" s="737">
        <v>438623</v>
      </c>
      <c r="AAR21" s="737">
        <v>5224656</v>
      </c>
      <c r="AAS21" s="737">
        <v>2318465</v>
      </c>
      <c r="AAT21" s="738"/>
      <c r="AAU21" s="754">
        <v>2029003</v>
      </c>
      <c r="AAV21" s="741">
        <v>66498</v>
      </c>
      <c r="AAW21" s="741">
        <v>0</v>
      </c>
      <c r="AAX21" s="737">
        <v>1775943</v>
      </c>
      <c r="AAY21" s="737">
        <v>2115706</v>
      </c>
      <c r="AAZ21" s="737">
        <v>1313815</v>
      </c>
      <c r="ABA21" s="737">
        <v>1214952</v>
      </c>
      <c r="ABB21" s="737">
        <v>1448500</v>
      </c>
      <c r="ABC21" s="737">
        <v>178200</v>
      </c>
      <c r="ABD21" s="737">
        <v>5106401</v>
      </c>
      <c r="ABE21" s="739">
        <v>4282081</v>
      </c>
      <c r="ABF21" s="739">
        <v>181020</v>
      </c>
      <c r="ABG21" s="739">
        <v>7000</v>
      </c>
      <c r="ABH21" s="738">
        <v>3127596</v>
      </c>
      <c r="ABI21" s="737">
        <v>2073493</v>
      </c>
      <c r="ABJ21" s="737">
        <v>42917455</v>
      </c>
      <c r="ABK21" s="737">
        <v>24558889</v>
      </c>
      <c r="ABL21" s="737">
        <v>3052998</v>
      </c>
      <c r="ABM21" s="741">
        <v>2997052</v>
      </c>
      <c r="ABN21" s="737">
        <v>2744301</v>
      </c>
      <c r="ABO21" s="737">
        <v>4561288</v>
      </c>
      <c r="ABP21" s="737">
        <v>1135924</v>
      </c>
      <c r="ABQ21" s="737">
        <v>1915636</v>
      </c>
      <c r="ABR21" s="737">
        <v>98820572</v>
      </c>
      <c r="ABS21" s="737">
        <v>105145358</v>
      </c>
      <c r="ABT21" s="737">
        <v>9875997</v>
      </c>
      <c r="ABU21" s="737">
        <v>4195641</v>
      </c>
      <c r="ABV21" s="737">
        <v>41386000</v>
      </c>
      <c r="ABW21" s="737">
        <v>34700000</v>
      </c>
      <c r="ABX21" s="737">
        <v>2075011</v>
      </c>
      <c r="ABY21" s="737">
        <v>1611297</v>
      </c>
      <c r="ABZ21" s="737">
        <v>14467737</v>
      </c>
      <c r="ACA21" s="737">
        <v>11291172</v>
      </c>
      <c r="ACB21" s="737">
        <v>9616722</v>
      </c>
      <c r="ACC21" s="737">
        <v>6791844</v>
      </c>
      <c r="ACD21" s="737">
        <v>2269988</v>
      </c>
      <c r="ACE21" s="737">
        <v>2862355</v>
      </c>
      <c r="ACF21" s="737">
        <v>1717643</v>
      </c>
      <c r="ACG21" s="737">
        <v>4161805</v>
      </c>
      <c r="ACH21" s="737">
        <v>17559907</v>
      </c>
      <c r="ACI21" s="737">
        <v>9580889</v>
      </c>
      <c r="ACJ21" s="737">
        <v>266378</v>
      </c>
      <c r="ACK21" s="737">
        <v>280548</v>
      </c>
      <c r="ACL21" s="737">
        <v>9744434</v>
      </c>
      <c r="ACM21" s="737">
        <v>5655870</v>
      </c>
      <c r="ACN21" s="737">
        <v>507466</v>
      </c>
      <c r="ACO21" s="737">
        <v>401630</v>
      </c>
      <c r="ACP21" s="737">
        <v>4240749</v>
      </c>
      <c r="ACQ21" s="743">
        <v>2375040</v>
      </c>
      <c r="ACR21" s="743">
        <v>847070</v>
      </c>
      <c r="ACS21" s="743">
        <v>202732</v>
      </c>
      <c r="ACT21" s="737">
        <v>172175</v>
      </c>
      <c r="ACU21" s="737">
        <v>54250</v>
      </c>
      <c r="ACV21" s="737">
        <v>33800</v>
      </c>
      <c r="ACW21" s="737">
        <v>0</v>
      </c>
      <c r="ACX21" s="737">
        <v>72550289</v>
      </c>
      <c r="ACY21" s="737">
        <v>80962118</v>
      </c>
      <c r="ACZ21" s="744">
        <v>1230565</v>
      </c>
      <c r="ADA21" s="744">
        <v>40404</v>
      </c>
      <c r="ADB21" s="744">
        <v>657476</v>
      </c>
      <c r="ADC21" s="744">
        <v>1491255</v>
      </c>
      <c r="ADD21" s="746">
        <v>4405316726</v>
      </c>
      <c r="ADE21" s="746">
        <v>2930021701</v>
      </c>
      <c r="ADF21" s="772">
        <v>817531168</v>
      </c>
      <c r="ADG21" s="772">
        <v>1054745683</v>
      </c>
      <c r="ADH21" s="773"/>
      <c r="ADI21" s="773"/>
      <c r="ADJ21" s="772">
        <v>441235000</v>
      </c>
      <c r="ADK21" s="772">
        <v>479743000</v>
      </c>
      <c r="ADL21" s="773"/>
      <c r="ADM21" s="773"/>
      <c r="ADN21" s="746">
        <f>+(-135777000)+191451000</f>
        <v>55674000</v>
      </c>
      <c r="ADO21" s="746">
        <f>57469140+94647880</f>
        <v>152117020</v>
      </c>
      <c r="ADP21" s="772">
        <v>1203456885</v>
      </c>
      <c r="ADQ21" s="772">
        <v>1041783924</v>
      </c>
      <c r="ADR21" s="772"/>
      <c r="ADS21" s="772"/>
      <c r="ADT21" s="772">
        <v>3501116000</v>
      </c>
      <c r="ADU21" s="772">
        <v>4469839000</v>
      </c>
      <c r="ADV21" s="746">
        <v>2650199084</v>
      </c>
      <c r="ADW21" s="746">
        <v>2962836988</v>
      </c>
      <c r="ADX21" s="746">
        <v>264893337</v>
      </c>
      <c r="ADY21" s="746">
        <v>768299000</v>
      </c>
      <c r="ADZ21" s="746"/>
      <c r="AEA21" s="746"/>
      <c r="AEB21" s="746">
        <v>3389336787</v>
      </c>
      <c r="AEC21" s="746">
        <v>5172220725</v>
      </c>
      <c r="AED21" s="746">
        <v>774145000</v>
      </c>
      <c r="AEE21" s="746">
        <v>4926970350</v>
      </c>
      <c r="AEF21" s="748">
        <v>7944764209</v>
      </c>
      <c r="AEG21" s="748">
        <v>19489678482</v>
      </c>
      <c r="AEH21" s="746">
        <v>27302948</v>
      </c>
      <c r="AEI21" s="746">
        <v>38876689</v>
      </c>
      <c r="AEJ21" s="746">
        <v>3590764948</v>
      </c>
      <c r="AEK21" s="746">
        <v>5732239949</v>
      </c>
      <c r="AEL21" s="746">
        <v>7149907254</v>
      </c>
      <c r="AEM21" s="746">
        <v>8328595966</v>
      </c>
      <c r="AEN21" s="744">
        <v>4364641</v>
      </c>
      <c r="AEO21" s="744">
        <v>6479549</v>
      </c>
      <c r="AEP21" s="746">
        <v>139829936847</v>
      </c>
      <c r="AEQ21" s="746">
        <v>225785970784</v>
      </c>
      <c r="AER21" s="773"/>
      <c r="AES21" s="773"/>
      <c r="AET21" s="773"/>
      <c r="AEU21" s="773"/>
      <c r="AEV21" s="744">
        <v>48789000</v>
      </c>
      <c r="AEW21" s="744">
        <v>56261000</v>
      </c>
      <c r="AEX21" s="746">
        <v>2915182842.6700001</v>
      </c>
      <c r="AEY21" s="746">
        <v>2483523123</v>
      </c>
      <c r="AEZ21" s="773"/>
      <c r="AFA21" s="773"/>
      <c r="AFB21" s="746">
        <v>12503273875</v>
      </c>
      <c r="AFC21" s="746">
        <v>21271421598</v>
      </c>
      <c r="AFD21" s="746">
        <v>2783747581</v>
      </c>
      <c r="AFE21" s="746">
        <v>4513531603</v>
      </c>
      <c r="AFF21" s="746">
        <v>6881691299</v>
      </c>
      <c r="AFG21" s="746">
        <v>6722187787</v>
      </c>
      <c r="AFH21" s="746">
        <f>8641347690-469647450</f>
        <v>8171700240</v>
      </c>
      <c r="AFI21" s="746">
        <f>38139943569-27132858000</f>
        <v>11007085569</v>
      </c>
      <c r="AFJ21" s="746">
        <v>18857296774</v>
      </c>
      <c r="AFK21" s="746">
        <v>24944935446</v>
      </c>
      <c r="AFL21" s="744">
        <v>203250</v>
      </c>
      <c r="AFM21" s="744">
        <v>652202</v>
      </c>
      <c r="AFN21" s="744">
        <v>32772445</v>
      </c>
      <c r="AFO21" s="744">
        <v>48772381</v>
      </c>
      <c r="AFP21" s="746">
        <v>12511686326</v>
      </c>
      <c r="AFQ21" s="746">
        <v>10458935867</v>
      </c>
      <c r="AFR21" s="744">
        <f>33915000+153553212</f>
        <v>187468212</v>
      </c>
      <c r="AFS21" s="744">
        <f>231008403+84000000</f>
        <v>315008403</v>
      </c>
      <c r="AFT21" s="746">
        <v>3725997000</v>
      </c>
      <c r="AFU21" s="746">
        <v>10443306338</v>
      </c>
      <c r="AFV21" s="744"/>
      <c r="AFW21" s="744">
        <v>412070000</v>
      </c>
      <c r="AFX21" s="751">
        <v>55144032945</v>
      </c>
      <c r="AFY21" s="751">
        <v>62995407257</v>
      </c>
      <c r="AFZ21" s="774">
        <v>4513531604</v>
      </c>
      <c r="AGA21" s="774">
        <v>5995529756</v>
      </c>
      <c r="AGB21" s="774">
        <v>21271421598</v>
      </c>
      <c r="AGC21" s="774">
        <v>11163016127</v>
      </c>
      <c r="AGD21" s="774">
        <v>5732239949</v>
      </c>
      <c r="AGE21" s="774">
        <v>11406447687</v>
      </c>
      <c r="AGF21" s="774">
        <v>7256022330</v>
      </c>
      <c r="AGG21" s="774">
        <v>5330924085</v>
      </c>
      <c r="AGH21" s="774">
        <v>839872099</v>
      </c>
      <c r="AGI21" s="774">
        <v>599034367</v>
      </c>
      <c r="AGJ21" s="774">
        <v>100523034</v>
      </c>
      <c r="AGK21" s="774">
        <v>104752373</v>
      </c>
      <c r="AGL21" s="774">
        <v>5172220725</v>
      </c>
      <c r="AGM21" s="774">
        <v>5263752114</v>
      </c>
      <c r="AGN21" s="774">
        <v>225785970784</v>
      </c>
      <c r="AGO21" s="774">
        <v>242426298151</v>
      </c>
      <c r="AGP21" s="774">
        <v>7256022330</v>
      </c>
      <c r="AGQ21" s="774">
        <v>5330924085</v>
      </c>
      <c r="AGR21" s="774">
        <v>6479549398</v>
      </c>
      <c r="AGS21" s="774">
        <v>5719605576</v>
      </c>
      <c r="AGT21" s="774">
        <v>652202000</v>
      </c>
      <c r="AGU21" s="774">
        <v>786033000</v>
      </c>
      <c r="AGV21" s="774">
        <v>9070851961</v>
      </c>
      <c r="AGW21" s="774">
        <v>20195114617</v>
      </c>
      <c r="AGX21" s="605" t="s">
        <v>224</v>
      </c>
      <c r="AGY21" s="605" t="s">
        <v>224</v>
      </c>
      <c r="AGZ21" s="774">
        <v>9835707301</v>
      </c>
      <c r="AHA21" s="774">
        <v>6822010850</v>
      </c>
      <c r="AHB21" s="774">
        <v>1724303994</v>
      </c>
      <c r="AHC21" s="774">
        <v>1572020640</v>
      </c>
      <c r="AHD21" s="774">
        <v>8328595966</v>
      </c>
      <c r="AHE21" s="774">
        <v>11052204079</v>
      </c>
      <c r="AHF21" s="774">
        <v>57036168000</v>
      </c>
      <c r="AHG21" s="774">
        <v>67495148000</v>
      </c>
      <c r="AHH21" s="774">
        <v>19489678482</v>
      </c>
      <c r="AHI21" s="774">
        <v>21651129442</v>
      </c>
      <c r="AHJ21" s="774">
        <v>768299000</v>
      </c>
      <c r="AHK21" s="774">
        <v>588759000</v>
      </c>
      <c r="AHL21" s="774">
        <v>5548277000</v>
      </c>
      <c r="AHM21" s="774">
        <v>8288256000</v>
      </c>
      <c r="AHN21" s="774">
        <v>11007085569</v>
      </c>
      <c r="AHO21" s="774">
        <v>4042394437</v>
      </c>
      <c r="AHP21" s="774">
        <v>1441855000</v>
      </c>
      <c r="AHQ21" s="774">
        <v>185754200</v>
      </c>
      <c r="AHR21" s="774">
        <v>4469839000</v>
      </c>
      <c r="AHS21" s="774">
        <v>3568633058</v>
      </c>
      <c r="AHT21" s="774">
        <v>2962836988</v>
      </c>
      <c r="AHU21" s="774">
        <v>2816374045</v>
      </c>
      <c r="AHV21" s="774">
        <v>479743000</v>
      </c>
      <c r="AHW21" s="774">
        <v>441495000</v>
      </c>
      <c r="AHX21" s="774">
        <v>2930021701</v>
      </c>
      <c r="AHY21" s="774">
        <v>4557104221</v>
      </c>
      <c r="AHZ21" s="774">
        <v>6722187787</v>
      </c>
      <c r="AIA21" s="774">
        <v>10073886722</v>
      </c>
      <c r="AIB21" s="605"/>
      <c r="AIC21" s="605"/>
      <c r="AID21" s="774">
        <v>56261000000</v>
      </c>
      <c r="AIE21" s="774">
        <v>63319000000</v>
      </c>
      <c r="AIF21" s="774">
        <v>2954877000</v>
      </c>
      <c r="AIG21" s="774">
        <v>3898663000</v>
      </c>
      <c r="AIH21" s="605"/>
      <c r="AII21" s="774">
        <v>451950000</v>
      </c>
      <c r="AIJ21" s="774">
        <v>492697035018</v>
      </c>
      <c r="AIK21" s="774">
        <v>8633546658</v>
      </c>
      <c r="AIL21" s="774">
        <v>7938785710</v>
      </c>
      <c r="AIM21" s="774">
        <v>12219959220</v>
      </c>
      <c r="AIN21" s="605"/>
      <c r="AIO21" s="774">
        <v>747061</v>
      </c>
      <c r="AIP21" s="605"/>
      <c r="AIQ21" s="774">
        <v>66780000</v>
      </c>
      <c r="AIR21" s="774">
        <v>48772381000</v>
      </c>
      <c r="AIS21" s="774">
        <v>57729604000</v>
      </c>
      <c r="AIT21" s="774">
        <v>1041783924</v>
      </c>
      <c r="AIU21" s="774">
        <v>1257337156</v>
      </c>
      <c r="AIV21" s="774">
        <v>4280954855</v>
      </c>
      <c r="AIW21" s="774">
        <v>5245148966</v>
      </c>
      <c r="AIX21" s="774">
        <v>1182611</v>
      </c>
      <c r="AIY21" s="774">
        <v>1439701</v>
      </c>
      <c r="AIZ21" s="774">
        <v>5689005105</v>
      </c>
      <c r="AJA21" s="774">
        <v>6783937000</v>
      </c>
      <c r="AJB21" s="774">
        <v>38876689000</v>
      </c>
      <c r="AJC21" s="774">
        <v>32520257000</v>
      </c>
      <c r="AJD21" s="774">
        <v>93282000</v>
      </c>
      <c r="AJE21" s="774">
        <v>46601000</v>
      </c>
      <c r="AJF21" s="774">
        <v>56261000000</v>
      </c>
      <c r="AJG21" s="774">
        <v>63319000000</v>
      </c>
      <c r="AJH21" s="774">
        <v>2483523123</v>
      </c>
      <c r="AJI21" s="774">
        <v>4507521441</v>
      </c>
      <c r="AJJ21" s="774">
        <v>10458935867</v>
      </c>
      <c r="AJK21" s="774">
        <v>14143213426</v>
      </c>
      <c r="AJL21" s="774">
        <v>2159900815</v>
      </c>
      <c r="AJM21" s="774">
        <v>2064211421</v>
      </c>
      <c r="AJN21" s="774">
        <v>231008403</v>
      </c>
      <c r="AJO21" s="774">
        <v>8467185000</v>
      </c>
    </row>
    <row r="22" spans="1:951" x14ac:dyDescent="0.25">
      <c r="A22" s="92" t="s">
        <v>26</v>
      </c>
      <c r="B22" s="96">
        <v>0</v>
      </c>
      <c r="C22" s="96">
        <v>232892.77900000001</v>
      </c>
      <c r="D22" s="96">
        <v>152532.69899999999</v>
      </c>
      <c r="E22" s="96">
        <v>9472</v>
      </c>
      <c r="F22" s="96">
        <v>392474</v>
      </c>
      <c r="G22" s="96">
        <v>18932</v>
      </c>
      <c r="H22" s="96">
        <v>26922</v>
      </c>
      <c r="I22" s="96">
        <v>18280.875</v>
      </c>
      <c r="J22" s="96">
        <v>21205</v>
      </c>
      <c r="K22" s="96"/>
      <c r="L22" s="96">
        <v>169485.58900000001</v>
      </c>
      <c r="M22" s="96">
        <v>179459.38</v>
      </c>
      <c r="N22" s="96">
        <v>39037.773000000001</v>
      </c>
      <c r="O22" s="96">
        <v>387629</v>
      </c>
      <c r="P22" s="96">
        <v>700076</v>
      </c>
      <c r="Q22" s="96">
        <v>0</v>
      </c>
      <c r="R22" s="96">
        <v>90413.695000000007</v>
      </c>
      <c r="S22" s="96">
        <v>29363</v>
      </c>
      <c r="T22" s="96">
        <v>26483</v>
      </c>
      <c r="U22" s="96">
        <v>175870</v>
      </c>
      <c r="V22" s="96">
        <v>0</v>
      </c>
      <c r="W22" s="96">
        <v>0</v>
      </c>
      <c r="X22" s="96"/>
      <c r="Y22" s="96">
        <v>1494</v>
      </c>
      <c r="Z22" s="96">
        <v>54290</v>
      </c>
      <c r="AA22" s="96">
        <v>0</v>
      </c>
      <c r="AB22" s="96">
        <v>1644.63</v>
      </c>
      <c r="AC22" s="96">
        <v>359.733</v>
      </c>
      <c r="AD22" s="96">
        <v>948</v>
      </c>
      <c r="AE22" s="96">
        <v>40856</v>
      </c>
      <c r="AF22" s="96">
        <v>0</v>
      </c>
      <c r="AG22" s="96">
        <v>3626.51</v>
      </c>
      <c r="AH22" s="96">
        <v>191760.89</v>
      </c>
      <c r="AI22" s="96">
        <v>178716</v>
      </c>
      <c r="AJ22" s="96">
        <v>6842</v>
      </c>
      <c r="AK22" s="96">
        <v>0</v>
      </c>
      <c r="AL22" s="96">
        <v>2021.319</v>
      </c>
      <c r="AM22" s="96">
        <v>8421.31</v>
      </c>
      <c r="AN22" s="96">
        <v>3986</v>
      </c>
      <c r="AO22" s="96">
        <v>682</v>
      </c>
      <c r="AP22" s="96">
        <v>0</v>
      </c>
      <c r="AQ22" s="96">
        <v>0</v>
      </c>
      <c r="AR22" s="96">
        <v>0</v>
      </c>
      <c r="AS22" s="96">
        <v>0</v>
      </c>
      <c r="AT22" s="96">
        <v>0</v>
      </c>
      <c r="AU22" s="96">
        <v>1787</v>
      </c>
      <c r="AV22" s="96">
        <v>2473</v>
      </c>
      <c r="AW22" s="96">
        <v>2489</v>
      </c>
      <c r="AX22" s="96">
        <v>45642</v>
      </c>
      <c r="AY22" s="96"/>
      <c r="AZ22" s="96">
        <v>18756.999</v>
      </c>
      <c r="BA22" s="96">
        <v>0</v>
      </c>
      <c r="BB22" s="96">
        <v>38585.362000000001</v>
      </c>
      <c r="BC22" s="96">
        <v>87279</v>
      </c>
      <c r="BD22" s="96">
        <v>117537</v>
      </c>
      <c r="BE22" s="96">
        <v>0</v>
      </c>
      <c r="BF22" s="96">
        <v>14934.058000000001</v>
      </c>
      <c r="BG22" s="96">
        <v>34882.307000000001</v>
      </c>
      <c r="BH22" s="96"/>
      <c r="BI22" s="96">
        <v>45361</v>
      </c>
      <c r="BJ22" s="96"/>
      <c r="BK22" s="96"/>
      <c r="BL22" s="96"/>
      <c r="BM22" s="96"/>
      <c r="BN22" s="96"/>
      <c r="BO22" s="96"/>
      <c r="BP22" s="96"/>
      <c r="BQ22" s="96">
        <v>1252</v>
      </c>
      <c r="BR22" s="96">
        <v>1256</v>
      </c>
      <c r="BS22" s="96">
        <v>1073</v>
      </c>
      <c r="BT22" s="96">
        <v>17280.54</v>
      </c>
      <c r="BU22" s="96">
        <v>4298.1279999999997</v>
      </c>
      <c r="BV22" s="96">
        <v>11905</v>
      </c>
      <c r="BW22" s="96">
        <v>3334</v>
      </c>
      <c r="BX22" s="96">
        <v>49932</v>
      </c>
      <c r="BY22" s="96">
        <v>0</v>
      </c>
      <c r="BZ22" s="96">
        <v>82319</v>
      </c>
      <c r="CA22" s="96">
        <v>74831.457999999999</v>
      </c>
      <c r="CB22" s="96">
        <v>8811</v>
      </c>
      <c r="CC22" s="96">
        <v>83081</v>
      </c>
      <c r="CD22" s="96">
        <v>0</v>
      </c>
      <c r="CE22" s="96">
        <v>80750</v>
      </c>
      <c r="CF22" s="96">
        <v>17366.212</v>
      </c>
      <c r="CG22" s="96"/>
      <c r="CH22" s="96"/>
      <c r="CI22" s="96">
        <v>0</v>
      </c>
      <c r="CJ22" s="96">
        <v>0</v>
      </c>
      <c r="CK22" s="96">
        <v>0</v>
      </c>
      <c r="CL22" s="96">
        <v>0</v>
      </c>
      <c r="CM22" s="96">
        <v>0</v>
      </c>
      <c r="CN22" s="96">
        <v>0</v>
      </c>
      <c r="CO22" s="96">
        <v>0</v>
      </c>
      <c r="CP22" s="96">
        <v>2325.1999999999998</v>
      </c>
      <c r="CQ22" s="96">
        <v>767920</v>
      </c>
      <c r="CR22" s="96">
        <v>12949</v>
      </c>
      <c r="CS22" s="96">
        <v>0</v>
      </c>
      <c r="CT22" s="96">
        <v>0</v>
      </c>
      <c r="CU22" s="96">
        <v>0</v>
      </c>
      <c r="CV22" s="96">
        <v>0</v>
      </c>
      <c r="CW22" s="96">
        <v>4092</v>
      </c>
      <c r="CX22" s="96">
        <v>0</v>
      </c>
      <c r="CY22" s="96">
        <v>0</v>
      </c>
      <c r="CZ22" s="96">
        <v>0</v>
      </c>
      <c r="DA22" s="96"/>
      <c r="DB22" s="96"/>
      <c r="DC22" s="96">
        <v>44591</v>
      </c>
      <c r="DD22" s="96">
        <v>2101</v>
      </c>
      <c r="DE22" s="96">
        <v>0</v>
      </c>
      <c r="DF22" s="96">
        <v>0</v>
      </c>
      <c r="DG22" s="96">
        <v>0</v>
      </c>
      <c r="DH22" s="96">
        <v>0</v>
      </c>
      <c r="DI22" s="96">
        <v>0</v>
      </c>
      <c r="DJ22" s="96"/>
      <c r="DK22" s="96"/>
      <c r="DL22" s="96"/>
      <c r="DM22" s="102">
        <v>1838504</v>
      </c>
      <c r="DN22" s="96">
        <v>1947676</v>
      </c>
      <c r="DO22" s="96">
        <v>634447</v>
      </c>
      <c r="DP22" s="96">
        <v>660433</v>
      </c>
      <c r="DQ22" s="96">
        <v>759872</v>
      </c>
      <c r="DR22" s="96">
        <v>12597729.888</v>
      </c>
      <c r="DS22" s="96">
        <v>4416999.59</v>
      </c>
      <c r="DT22" s="96">
        <v>15111284.379999999</v>
      </c>
      <c r="DU22" s="96">
        <v>30603530</v>
      </c>
      <c r="DV22" s="96">
        <v>26654268</v>
      </c>
      <c r="DW22" s="96">
        <v>0</v>
      </c>
      <c r="DX22" s="96">
        <v>0</v>
      </c>
      <c r="DY22" s="96">
        <v>930.62099999999998</v>
      </c>
      <c r="DZ22" s="96">
        <v>9969</v>
      </c>
      <c r="EA22" s="96">
        <v>9293</v>
      </c>
      <c r="EB22" s="96"/>
      <c r="EC22" s="96"/>
      <c r="ED22" s="96"/>
      <c r="EE22" s="96"/>
      <c r="EF22" s="96"/>
      <c r="EG22" s="96"/>
      <c r="EH22" s="96"/>
      <c r="EI22" s="96"/>
      <c r="EJ22" s="96">
        <v>421220</v>
      </c>
      <c r="EK22" s="96">
        <v>251476</v>
      </c>
      <c r="EL22" s="96"/>
      <c r="EM22" s="96"/>
      <c r="EN22" s="96"/>
      <c r="EO22" s="96">
        <v>13196</v>
      </c>
      <c r="EP22" s="96">
        <v>16302</v>
      </c>
      <c r="EQ22" s="96"/>
      <c r="ER22" s="96"/>
      <c r="ES22" s="96"/>
      <c r="ET22" s="96"/>
      <c r="EU22" s="96">
        <v>25653</v>
      </c>
      <c r="EV22" s="96">
        <v>20455</v>
      </c>
      <c r="EW22" s="96">
        <v>27046</v>
      </c>
      <c r="EX22" s="96">
        <v>700076</v>
      </c>
      <c r="EY22" s="96">
        <v>447277</v>
      </c>
      <c r="EZ22" s="96">
        <v>175870</v>
      </c>
      <c r="FA22" s="96">
        <v>290839</v>
      </c>
      <c r="FB22" s="96">
        <v>40856</v>
      </c>
      <c r="FC22" s="96">
        <v>28242</v>
      </c>
      <c r="FD22" s="96">
        <v>6842</v>
      </c>
      <c r="FE22" s="96">
        <v>301796</v>
      </c>
      <c r="FF22" s="96">
        <v>682</v>
      </c>
      <c r="FG22" s="96">
        <v>5</v>
      </c>
      <c r="FH22" s="96">
        <v>0</v>
      </c>
      <c r="FI22" s="96">
        <v>0</v>
      </c>
      <c r="FJ22" s="96"/>
      <c r="FK22" s="96"/>
      <c r="FL22" s="96"/>
      <c r="FM22" s="96">
        <v>30000</v>
      </c>
      <c r="FN22" s="96">
        <v>1073</v>
      </c>
      <c r="FO22" s="96">
        <v>43343</v>
      </c>
      <c r="FP22" s="96">
        <v>45361</v>
      </c>
      <c r="FQ22" s="96">
        <v>33098</v>
      </c>
      <c r="FR22" s="96">
        <v>49932</v>
      </c>
      <c r="FS22" s="96"/>
      <c r="FT22" s="96">
        <v>117537</v>
      </c>
      <c r="FU22" s="96">
        <v>3012</v>
      </c>
      <c r="FV22" s="96">
        <v>83081</v>
      </c>
      <c r="FW22" s="96"/>
      <c r="FX22" s="96"/>
      <c r="FY22" s="96"/>
      <c r="FZ22" s="96">
        <v>54290</v>
      </c>
      <c r="GA22" s="96">
        <v>38227</v>
      </c>
      <c r="GB22" s="96"/>
      <c r="GC22" s="96">
        <v>1081</v>
      </c>
      <c r="GD22" s="96"/>
      <c r="GE22" s="96">
        <v>81</v>
      </c>
      <c r="GF22" s="96"/>
      <c r="GG22" s="96"/>
      <c r="GH22" s="96">
        <v>12949</v>
      </c>
      <c r="GI22" s="96">
        <v>36551</v>
      </c>
      <c r="GJ22" s="96">
        <v>0</v>
      </c>
      <c r="GK22" s="96">
        <v>0</v>
      </c>
      <c r="GL22" s="96">
        <v>1073148</v>
      </c>
      <c r="GM22" s="96">
        <v>422350</v>
      </c>
      <c r="GN22" s="96">
        <v>14194</v>
      </c>
      <c r="GO22" s="96">
        <v>14470</v>
      </c>
      <c r="GP22" s="96"/>
      <c r="GQ22" s="96"/>
      <c r="GR22" s="96"/>
      <c r="GS22" s="96"/>
      <c r="GT22" s="96">
        <v>113010</v>
      </c>
      <c r="GU22" s="96">
        <v>77875</v>
      </c>
      <c r="GV22" s="96"/>
      <c r="GW22" s="96"/>
      <c r="GX22" s="96">
        <v>2259</v>
      </c>
      <c r="GY22" s="96">
        <v>6322</v>
      </c>
      <c r="GZ22" s="96">
        <v>4965496</v>
      </c>
      <c r="HA22" s="96">
        <v>10105516</v>
      </c>
      <c r="HB22" s="96">
        <v>18794</v>
      </c>
      <c r="HC22" s="96">
        <v>24505</v>
      </c>
      <c r="HD22" s="96">
        <v>812</v>
      </c>
      <c r="HE22" s="96">
        <v>28758</v>
      </c>
      <c r="HF22" s="96">
        <v>314687</v>
      </c>
      <c r="HG22" s="96">
        <v>1602707</v>
      </c>
      <c r="HH22" s="96">
        <v>4109361</v>
      </c>
      <c r="HI22" s="96">
        <v>3111831</v>
      </c>
      <c r="HJ22" s="96">
        <v>2242</v>
      </c>
      <c r="HK22" s="96">
        <v>38939</v>
      </c>
      <c r="HL22" s="96">
        <v>408741</v>
      </c>
      <c r="HM22" s="96">
        <v>266594</v>
      </c>
      <c r="HN22" s="96"/>
      <c r="HO22" s="96">
        <v>0</v>
      </c>
      <c r="HP22" s="96">
        <v>16499</v>
      </c>
      <c r="HQ22" s="96">
        <v>2</v>
      </c>
      <c r="HR22" s="96">
        <v>31382</v>
      </c>
      <c r="HS22" s="96">
        <v>18403</v>
      </c>
      <c r="HT22" s="96">
        <v>251476</v>
      </c>
      <c r="HU22" s="96"/>
      <c r="HV22" s="96">
        <v>16302</v>
      </c>
      <c r="HW22" s="96">
        <v>1301</v>
      </c>
      <c r="HX22" s="96">
        <v>366744</v>
      </c>
      <c r="HY22" s="96">
        <v>371233</v>
      </c>
      <c r="HZ22" s="96">
        <v>64982</v>
      </c>
      <c r="IA22" s="96">
        <v>80879</v>
      </c>
      <c r="IB22" s="96">
        <v>15014</v>
      </c>
      <c r="IC22" s="96">
        <v>9</v>
      </c>
      <c r="ID22" s="96">
        <v>2944642</v>
      </c>
      <c r="IE22" s="96">
        <v>1433464</v>
      </c>
      <c r="IF22" s="96">
        <v>324122</v>
      </c>
      <c r="IG22" s="96">
        <v>155415</v>
      </c>
      <c r="IH22" s="96">
        <v>0</v>
      </c>
      <c r="II22" s="96"/>
      <c r="IJ22" s="96">
        <v>302235</v>
      </c>
      <c r="IK22" s="96">
        <v>140054</v>
      </c>
      <c r="IL22" s="96">
        <v>25653</v>
      </c>
      <c r="IM22" s="96">
        <v>9355</v>
      </c>
      <c r="IN22" s="96"/>
      <c r="IO22" s="96"/>
      <c r="IP22" s="96"/>
      <c r="IQ22" s="96"/>
      <c r="IR22" s="96">
        <v>0</v>
      </c>
      <c r="IS22" s="96">
        <v>2</v>
      </c>
      <c r="IT22" s="96"/>
      <c r="IU22" s="96">
        <v>14000</v>
      </c>
      <c r="IV22" s="96">
        <v>759872</v>
      </c>
      <c r="IW22" s="96">
        <v>759872</v>
      </c>
      <c r="IX22" s="96">
        <v>26654268</v>
      </c>
      <c r="IY22" s="96">
        <v>25704626</v>
      </c>
      <c r="IZ22" s="96">
        <v>9293</v>
      </c>
      <c r="JA22" s="96">
        <v>15029</v>
      </c>
      <c r="JB22" s="96">
        <v>27046</v>
      </c>
      <c r="JC22" s="96">
        <v>20882</v>
      </c>
      <c r="JD22" s="96">
        <v>447277</v>
      </c>
      <c r="JE22" s="96">
        <v>133478</v>
      </c>
      <c r="JF22" s="96">
        <v>290839</v>
      </c>
      <c r="JG22" s="96">
        <v>56693</v>
      </c>
      <c r="JH22" s="96">
        <v>28242</v>
      </c>
      <c r="JI22" s="96">
        <v>29741</v>
      </c>
      <c r="JJ22" s="96">
        <v>301796</v>
      </c>
      <c r="JK22" s="96">
        <v>57444</v>
      </c>
      <c r="JL22" s="96">
        <v>5</v>
      </c>
      <c r="JM22" s="96">
        <v>4</v>
      </c>
      <c r="JN22" s="96">
        <v>0</v>
      </c>
      <c r="JO22" s="96">
        <v>0</v>
      </c>
      <c r="JP22" s="96"/>
      <c r="JQ22" s="96"/>
      <c r="JR22" s="96">
        <v>30000</v>
      </c>
      <c r="JS22" s="96">
        <v>50000</v>
      </c>
      <c r="JT22" s="96">
        <v>43343</v>
      </c>
      <c r="JU22" s="96">
        <v>14183</v>
      </c>
      <c r="JV22" s="96">
        <v>33098</v>
      </c>
      <c r="JW22" s="96">
        <v>34507</v>
      </c>
      <c r="JX22" s="96"/>
      <c r="JY22" s="96"/>
      <c r="JZ22" s="96">
        <v>3012</v>
      </c>
      <c r="KA22" s="96">
        <v>12366</v>
      </c>
      <c r="KB22" s="96"/>
      <c r="KC22" s="96">
        <v>38529</v>
      </c>
      <c r="KD22" s="96"/>
      <c r="KE22" s="96">
        <v>3</v>
      </c>
      <c r="KF22" s="96">
        <v>38227</v>
      </c>
      <c r="KG22" s="96">
        <v>16613</v>
      </c>
      <c r="KH22" s="96">
        <v>1081</v>
      </c>
      <c r="KI22" s="96"/>
      <c r="KJ22" s="96">
        <v>81</v>
      </c>
      <c r="KK22" s="96">
        <v>246227</v>
      </c>
      <c r="KL22" s="96"/>
      <c r="KM22" s="96"/>
      <c r="KN22" s="96">
        <v>36551</v>
      </c>
      <c r="KO22" s="96">
        <v>14659</v>
      </c>
      <c r="KP22" s="96">
        <v>0</v>
      </c>
      <c r="KQ22" s="96">
        <v>0</v>
      </c>
      <c r="KR22" s="96">
        <v>422350</v>
      </c>
      <c r="KS22" s="96">
        <v>678698</v>
      </c>
      <c r="KT22" s="96">
        <v>14470</v>
      </c>
      <c r="KU22" s="96"/>
      <c r="KV22" s="96"/>
      <c r="KW22" s="96"/>
      <c r="KX22" s="96"/>
      <c r="KY22" s="96"/>
      <c r="KZ22" s="96">
        <v>77875</v>
      </c>
      <c r="LA22" s="96">
        <v>42194</v>
      </c>
      <c r="LB22" s="96"/>
      <c r="LC22" s="96"/>
      <c r="LD22" s="96">
        <v>6322</v>
      </c>
      <c r="LE22" s="96">
        <v>13794</v>
      </c>
      <c r="LF22" s="96">
        <v>10105516</v>
      </c>
      <c r="LG22" s="96">
        <v>14388099</v>
      </c>
      <c r="LH22" s="96">
        <v>24505</v>
      </c>
      <c r="LI22" s="96">
        <v>158196</v>
      </c>
      <c r="LJ22" s="96">
        <v>28758</v>
      </c>
      <c r="LK22" s="96">
        <v>13376</v>
      </c>
      <c r="LL22" s="96">
        <v>1602707</v>
      </c>
      <c r="LM22" s="96">
        <v>240116</v>
      </c>
      <c r="LN22" s="96">
        <v>3111831</v>
      </c>
      <c r="LO22" s="96">
        <v>1813301</v>
      </c>
      <c r="LP22" s="96">
        <v>38939</v>
      </c>
      <c r="LQ22" s="96">
        <v>5</v>
      </c>
      <c r="LR22" s="96">
        <v>266594</v>
      </c>
      <c r="LS22" s="96">
        <v>347000</v>
      </c>
      <c r="LT22" s="96">
        <v>0</v>
      </c>
      <c r="LU22" s="96">
        <v>10740</v>
      </c>
      <c r="LV22" s="96">
        <v>2</v>
      </c>
      <c r="LW22" s="96">
        <v>88484</v>
      </c>
      <c r="LX22" s="96">
        <v>18403</v>
      </c>
      <c r="LY22" s="96">
        <v>145468</v>
      </c>
      <c r="LZ22" s="96"/>
      <c r="MA22" s="96"/>
      <c r="MB22" s="96">
        <v>1301</v>
      </c>
      <c r="MC22" s="96">
        <v>292</v>
      </c>
      <c r="MD22" s="96">
        <v>371233</v>
      </c>
      <c r="ME22" s="96">
        <v>204159</v>
      </c>
      <c r="MF22" s="96">
        <v>80879</v>
      </c>
      <c r="MG22" s="96">
        <v>49928</v>
      </c>
      <c r="MH22" s="96">
        <v>9</v>
      </c>
      <c r="MI22" s="96">
        <v>15217</v>
      </c>
      <c r="MJ22" s="96">
        <v>1433464</v>
      </c>
      <c r="MK22" s="96">
        <v>1608975</v>
      </c>
      <c r="ML22" s="96">
        <v>155415</v>
      </c>
      <c r="MM22" s="96">
        <v>2127736</v>
      </c>
      <c r="MN22" s="96"/>
      <c r="MO22" s="96"/>
      <c r="MP22" s="96">
        <v>140054</v>
      </c>
      <c r="MQ22" s="96">
        <v>300851</v>
      </c>
      <c r="MR22" s="96">
        <v>9355</v>
      </c>
      <c r="MS22" s="96">
        <v>11452</v>
      </c>
      <c r="MT22" s="96">
        <v>54676</v>
      </c>
      <c r="MU22" s="96"/>
      <c r="MV22" s="96"/>
      <c r="MW22" s="96"/>
      <c r="MX22" s="96">
        <v>2</v>
      </c>
      <c r="MY22" s="96">
        <v>165000</v>
      </c>
      <c r="MZ22" s="96">
        <v>14000</v>
      </c>
      <c r="NA22" s="96">
        <v>59131</v>
      </c>
      <c r="NB22" s="96">
        <v>759872</v>
      </c>
      <c r="NC22" s="96">
        <v>20997</v>
      </c>
      <c r="ND22" s="96">
        <v>25704626</v>
      </c>
      <c r="NE22" s="96">
        <v>40084157</v>
      </c>
      <c r="NF22" s="96">
        <v>15029</v>
      </c>
      <c r="NG22" s="96">
        <v>7404</v>
      </c>
      <c r="NH22" s="394">
        <v>20882</v>
      </c>
      <c r="NI22" s="394">
        <v>13672</v>
      </c>
      <c r="NJ22" s="394">
        <v>133477</v>
      </c>
      <c r="NK22" s="394">
        <v>979525</v>
      </c>
      <c r="NL22" s="394">
        <v>56693</v>
      </c>
      <c r="NM22" s="394">
        <v>6927</v>
      </c>
      <c r="NN22" s="394">
        <v>29741</v>
      </c>
      <c r="NO22" s="394">
        <v>15979</v>
      </c>
      <c r="NP22" s="394">
        <v>57444</v>
      </c>
      <c r="NQ22" s="394">
        <v>15839</v>
      </c>
      <c r="NR22" s="394">
        <v>4</v>
      </c>
      <c r="NS22" s="394">
        <v>7</v>
      </c>
      <c r="NT22" s="394"/>
      <c r="NU22" s="394"/>
      <c r="NV22" s="394"/>
      <c r="NW22" s="394"/>
      <c r="NX22" s="394">
        <v>50000</v>
      </c>
      <c r="NY22" s="394">
        <v>60000</v>
      </c>
      <c r="NZ22" s="394">
        <v>14183</v>
      </c>
      <c r="OA22" s="760">
        <v>12</v>
      </c>
      <c r="OB22" s="394">
        <v>34507</v>
      </c>
      <c r="OC22" s="394">
        <v>29481</v>
      </c>
      <c r="OD22" s="394"/>
      <c r="OE22" s="394"/>
      <c r="OF22" s="394">
        <v>12366</v>
      </c>
      <c r="OG22" s="394">
        <v>32028</v>
      </c>
      <c r="OH22" s="394">
        <v>38529</v>
      </c>
      <c r="OI22" s="394">
        <v>13446</v>
      </c>
      <c r="OJ22" s="394">
        <v>3</v>
      </c>
      <c r="OK22" s="394"/>
      <c r="OL22" s="394">
        <v>16613</v>
      </c>
      <c r="OM22" s="394">
        <v>616375</v>
      </c>
      <c r="ON22" s="394"/>
      <c r="OO22" s="394"/>
      <c r="OP22" s="394">
        <v>246227</v>
      </c>
      <c r="OQ22" s="394">
        <v>6928</v>
      </c>
      <c r="OR22" s="394"/>
      <c r="OS22" s="394"/>
      <c r="OT22" s="394">
        <v>14659</v>
      </c>
      <c r="OU22" s="394">
        <v>22655</v>
      </c>
      <c r="OV22" s="394"/>
      <c r="OW22" s="394">
        <v>541</v>
      </c>
      <c r="OX22" s="394">
        <v>678698</v>
      </c>
      <c r="OY22" s="394">
        <v>1231301</v>
      </c>
      <c r="OZ22" s="394"/>
      <c r="PA22" s="394">
        <v>84926</v>
      </c>
      <c r="PB22" s="394"/>
      <c r="PC22" s="394"/>
      <c r="PD22" s="394"/>
      <c r="PE22" s="394"/>
      <c r="PF22" s="394">
        <v>42194</v>
      </c>
      <c r="PG22" s="394">
        <v>389716</v>
      </c>
      <c r="PH22" s="394"/>
      <c r="PI22" s="394"/>
      <c r="PJ22" s="394">
        <v>13794</v>
      </c>
      <c r="PK22" s="394">
        <v>6233</v>
      </c>
      <c r="PL22" s="394">
        <v>1800902</v>
      </c>
      <c r="PM22" s="394"/>
      <c r="PN22" s="394">
        <v>5690</v>
      </c>
      <c r="PO22" s="394"/>
      <c r="PP22" s="394">
        <v>13376</v>
      </c>
      <c r="PQ22" s="394">
        <v>558339</v>
      </c>
      <c r="PR22" s="394">
        <v>240116</v>
      </c>
      <c r="PS22" s="394">
        <f>304+11033</f>
        <v>11337</v>
      </c>
      <c r="PT22" s="394">
        <v>637676</v>
      </c>
      <c r="PU22" s="394">
        <v>323399</v>
      </c>
      <c r="PV22" s="394">
        <v>38939</v>
      </c>
      <c r="PW22" s="394">
        <v>5</v>
      </c>
      <c r="PX22" s="394">
        <f>347000+10000</f>
        <v>357000</v>
      </c>
      <c r="PY22" s="394">
        <f>3700000+182000</f>
        <v>3882000</v>
      </c>
      <c r="PZ22" s="394">
        <v>10740</v>
      </c>
      <c r="QA22" s="394"/>
      <c r="QB22" s="394">
        <v>88484</v>
      </c>
      <c r="QC22" s="394">
        <f>24740+289748</f>
        <v>314488</v>
      </c>
      <c r="QD22" s="394">
        <v>145468</v>
      </c>
      <c r="QE22" s="394">
        <v>339165</v>
      </c>
      <c r="QF22" s="394"/>
      <c r="QG22" s="394"/>
      <c r="QH22" s="394">
        <v>292</v>
      </c>
      <c r="QI22" s="394">
        <v>3397</v>
      </c>
      <c r="QJ22" s="394">
        <v>204159</v>
      </c>
      <c r="QK22" s="394">
        <v>198114</v>
      </c>
      <c r="QL22" s="394">
        <v>49928</v>
      </c>
      <c r="QM22" s="394">
        <v>2660016</v>
      </c>
      <c r="QN22" s="394">
        <v>9</v>
      </c>
      <c r="QO22" s="394">
        <v>15217</v>
      </c>
      <c r="QP22" s="394">
        <v>1608975</v>
      </c>
      <c r="QQ22" s="394">
        <v>2728534</v>
      </c>
      <c r="QR22" s="394">
        <v>2127736</v>
      </c>
      <c r="QS22" s="394">
        <v>986750</v>
      </c>
      <c r="QT22" s="394"/>
      <c r="QU22" s="394"/>
      <c r="QV22" s="394">
        <v>140054</v>
      </c>
      <c r="QW22" s="394">
        <v>300851</v>
      </c>
      <c r="QX22" s="394">
        <v>11127</v>
      </c>
      <c r="QY22" s="394">
        <v>338429</v>
      </c>
      <c r="QZ22" s="394">
        <v>54676</v>
      </c>
      <c r="RA22" s="394"/>
      <c r="RB22" s="394"/>
      <c r="RC22" s="394"/>
      <c r="RD22" s="394">
        <v>2</v>
      </c>
      <c r="RE22" s="394">
        <v>165000</v>
      </c>
      <c r="RF22" s="394">
        <v>59131</v>
      </c>
      <c r="RG22" s="394"/>
      <c r="RH22" s="394">
        <v>759872</v>
      </c>
      <c r="RI22" s="394">
        <v>20997</v>
      </c>
      <c r="RJ22" s="394">
        <f>36617524+6722700</f>
        <v>43340224</v>
      </c>
      <c r="RK22" s="394">
        <f>56842606+16301253</f>
        <v>73143859</v>
      </c>
      <c r="RL22" s="394">
        <v>7404</v>
      </c>
      <c r="RM22" s="394">
        <v>15427</v>
      </c>
      <c r="RN22" s="455"/>
      <c r="RO22" s="455"/>
      <c r="RP22" s="455">
        <v>979550</v>
      </c>
      <c r="RQ22" s="455">
        <v>390349</v>
      </c>
      <c r="RR22" s="455">
        <v>6927</v>
      </c>
      <c r="RS22" s="455"/>
      <c r="RT22" s="455">
        <v>15979</v>
      </c>
      <c r="RU22" s="455">
        <v>4494</v>
      </c>
      <c r="RV22" s="455">
        <v>15839</v>
      </c>
      <c r="RW22" s="455">
        <v>2900</v>
      </c>
      <c r="RX22" s="455">
        <v>1511</v>
      </c>
      <c r="RY22" s="455">
        <v>205</v>
      </c>
      <c r="RZ22" s="455"/>
      <c r="SA22" s="455"/>
      <c r="SB22" s="455"/>
      <c r="SC22" s="455"/>
      <c r="SD22" s="455">
        <v>60000</v>
      </c>
      <c r="SE22" s="455">
        <v>15000</v>
      </c>
      <c r="SF22" s="455">
        <v>654</v>
      </c>
      <c r="SG22" s="775">
        <v>3167</v>
      </c>
      <c r="SH22" s="455">
        <v>29481</v>
      </c>
      <c r="SI22" s="455">
        <v>40502</v>
      </c>
      <c r="SJ22" s="455"/>
      <c r="SK22" s="455"/>
      <c r="SL22" s="455">
        <v>32028</v>
      </c>
      <c r="SM22" s="455">
        <v>76065</v>
      </c>
      <c r="SN22" s="455">
        <v>13446</v>
      </c>
      <c r="SO22" s="455">
        <v>94269</v>
      </c>
      <c r="SP22" s="455"/>
      <c r="SQ22" s="455"/>
      <c r="SR22" s="455"/>
      <c r="SS22" s="455"/>
      <c r="ST22" s="455"/>
      <c r="SU22" s="455"/>
      <c r="SV22" s="455"/>
      <c r="SW22" s="455"/>
      <c r="SX22" s="455"/>
      <c r="SY22" s="455"/>
      <c r="SZ22" s="455">
        <v>22655</v>
      </c>
      <c r="TA22" s="455">
        <v>109431</v>
      </c>
      <c r="TB22" s="455">
        <v>541</v>
      </c>
      <c r="TC22" s="455"/>
      <c r="TD22" s="455">
        <v>1236770</v>
      </c>
      <c r="TE22" s="455">
        <v>1462321</v>
      </c>
      <c r="TF22" s="455">
        <v>84926</v>
      </c>
      <c r="TG22" s="455">
        <v>2941</v>
      </c>
      <c r="TH22" s="455"/>
      <c r="TI22" s="455"/>
      <c r="TJ22" s="455"/>
      <c r="TK22" s="455"/>
      <c r="TL22" s="455">
        <v>7306</v>
      </c>
      <c r="TM22" s="455">
        <v>15189</v>
      </c>
      <c r="TN22" s="455"/>
      <c r="TO22" s="455"/>
      <c r="TP22" s="455">
        <v>8664</v>
      </c>
      <c r="TQ22" s="455">
        <v>24866</v>
      </c>
      <c r="TR22" s="455"/>
      <c r="TS22" s="455"/>
      <c r="TT22" s="455"/>
      <c r="TU22" s="455"/>
      <c r="TV22" s="455">
        <v>16459000</v>
      </c>
      <c r="TW22" s="455">
        <v>17383000</v>
      </c>
      <c r="TX22" s="455">
        <v>11337</v>
      </c>
      <c r="TY22" s="455">
        <v>177550</v>
      </c>
      <c r="TZ22" s="455">
        <v>323399</v>
      </c>
      <c r="UA22" s="455">
        <v>637123</v>
      </c>
      <c r="UB22" s="455">
        <v>5</v>
      </c>
      <c r="UC22" s="455"/>
      <c r="UD22" s="455">
        <v>3882000</v>
      </c>
      <c r="UE22" s="455">
        <v>4431000</v>
      </c>
      <c r="UF22" s="455"/>
      <c r="UG22" s="455"/>
      <c r="UH22" s="455">
        <v>10746</v>
      </c>
      <c r="UI22" s="455">
        <v>8005</v>
      </c>
      <c r="UJ22" s="455">
        <v>397944</v>
      </c>
      <c r="UK22" s="455">
        <v>1344052</v>
      </c>
      <c r="UL22" s="455"/>
      <c r="UM22" s="455"/>
      <c r="UN22" s="455">
        <v>3397</v>
      </c>
      <c r="UO22" s="455">
        <v>1255</v>
      </c>
      <c r="UP22" s="455">
        <v>36084</v>
      </c>
      <c r="UQ22" s="455">
        <v>13676</v>
      </c>
      <c r="UR22" s="455">
        <v>2660015</v>
      </c>
      <c r="US22" s="455">
        <v>1045318</v>
      </c>
      <c r="UT22" s="455">
        <v>15217</v>
      </c>
      <c r="UU22" s="455"/>
      <c r="UV22" s="455">
        <v>2728534</v>
      </c>
      <c r="UW22" s="455">
        <v>5401897</v>
      </c>
      <c r="UX22" s="455"/>
      <c r="UY22" s="455"/>
      <c r="UZ22" s="455"/>
      <c r="VA22" s="455"/>
      <c r="VB22" s="455">
        <v>1558915</v>
      </c>
      <c r="VC22" s="455">
        <v>1536769</v>
      </c>
      <c r="VD22" s="455">
        <v>841370</v>
      </c>
      <c r="VE22" s="455">
        <v>13806</v>
      </c>
      <c r="VF22" s="455"/>
      <c r="VG22" s="455"/>
      <c r="VH22" s="455"/>
      <c r="VI22" s="455"/>
      <c r="VJ22" s="455">
        <v>26950</v>
      </c>
      <c r="VK22" s="455">
        <v>0</v>
      </c>
      <c r="VL22" s="455"/>
      <c r="VM22" s="455">
        <v>783</v>
      </c>
      <c r="VN22" s="455">
        <v>20997</v>
      </c>
      <c r="VO22" s="455"/>
      <c r="VP22" s="455">
        <v>73143859</v>
      </c>
      <c r="VQ22" s="455">
        <v>38774958</v>
      </c>
      <c r="VR22" s="455">
        <v>15427</v>
      </c>
      <c r="VS22" s="455"/>
      <c r="VT22" s="468"/>
      <c r="VU22" s="468">
        <v>8988</v>
      </c>
      <c r="VV22" s="468">
        <v>390349</v>
      </c>
      <c r="VW22" s="468">
        <v>134126</v>
      </c>
      <c r="VX22" s="468"/>
      <c r="VY22" s="468">
        <v>33874</v>
      </c>
      <c r="VZ22" s="468">
        <v>4494</v>
      </c>
      <c r="WA22" s="468">
        <v>3304</v>
      </c>
      <c r="WB22" s="468">
        <v>2900</v>
      </c>
      <c r="WC22" s="468">
        <v>1</v>
      </c>
      <c r="WD22" s="468">
        <v>205</v>
      </c>
      <c r="WE22" s="468"/>
      <c r="WF22" s="468"/>
      <c r="WG22" s="468"/>
      <c r="WH22" s="468"/>
      <c r="WI22" s="468"/>
      <c r="WJ22" s="468">
        <v>15000</v>
      </c>
      <c r="WK22" s="468"/>
      <c r="WL22" s="468">
        <v>3167</v>
      </c>
      <c r="WM22" s="776">
        <v>1249</v>
      </c>
      <c r="WN22" s="468">
        <v>40502</v>
      </c>
      <c r="WO22" s="468">
        <v>28504</v>
      </c>
      <c r="WP22" s="468"/>
      <c r="WQ22" s="468"/>
      <c r="WR22" s="468">
        <v>16065</v>
      </c>
      <c r="WS22" s="468">
        <v>47516</v>
      </c>
      <c r="WT22" s="468">
        <v>94269</v>
      </c>
      <c r="WU22" s="468"/>
      <c r="WV22" s="468"/>
      <c r="WW22" s="468"/>
      <c r="WX22" s="468"/>
      <c r="WY22" s="468">
        <v>1826</v>
      </c>
      <c r="WZ22" s="468"/>
      <c r="XA22" s="468"/>
      <c r="XB22" s="468"/>
      <c r="XC22" s="468">
        <v>22</v>
      </c>
      <c r="XD22" s="468"/>
      <c r="XE22" s="468"/>
      <c r="XF22" s="468">
        <v>109431</v>
      </c>
      <c r="XG22" s="468">
        <v>14326</v>
      </c>
      <c r="XH22" s="468">
        <v>77719</v>
      </c>
      <c r="XI22" s="468">
        <v>96025</v>
      </c>
      <c r="XJ22" s="468">
        <v>1462321</v>
      </c>
      <c r="XK22" s="468">
        <v>1107982</v>
      </c>
      <c r="XL22" s="468">
        <v>2941</v>
      </c>
      <c r="XM22" s="468">
        <v>24501</v>
      </c>
      <c r="XN22" s="468"/>
      <c r="XO22" s="468"/>
      <c r="XP22" s="468"/>
      <c r="XQ22" s="468"/>
      <c r="XR22" s="468">
        <v>15189</v>
      </c>
      <c r="XS22" s="468">
        <v>5796</v>
      </c>
      <c r="XT22" s="468"/>
      <c r="XU22" s="468"/>
      <c r="XV22" s="468">
        <v>19583</v>
      </c>
      <c r="XW22" s="468">
        <v>11155</v>
      </c>
      <c r="XX22" s="468"/>
      <c r="XY22" s="468">
        <v>1122836</v>
      </c>
      <c r="XZ22" s="468">
        <v>11400</v>
      </c>
      <c r="YA22" s="468"/>
      <c r="YB22" s="468">
        <v>17383</v>
      </c>
      <c r="YC22" s="468">
        <v>10739</v>
      </c>
      <c r="YD22" s="468">
        <v>210413</v>
      </c>
      <c r="YE22" s="468">
        <v>11165</v>
      </c>
      <c r="YF22" s="468">
        <v>637123</v>
      </c>
      <c r="YG22" s="468">
        <v>1092708</v>
      </c>
      <c r="YH22" s="468"/>
      <c r="YI22" s="468"/>
      <c r="YJ22" s="468">
        <v>4431000</v>
      </c>
      <c r="YK22" s="468"/>
      <c r="YL22" s="468">
        <v>881374</v>
      </c>
      <c r="YM22" s="468">
        <v>8030716</v>
      </c>
      <c r="YN22" s="468">
        <v>8005</v>
      </c>
      <c r="YO22" s="468">
        <v>8153</v>
      </c>
      <c r="YP22" s="468">
        <v>1344052</v>
      </c>
      <c r="YQ22" s="468">
        <v>3902397</v>
      </c>
      <c r="YR22" s="468"/>
      <c r="YS22" s="468"/>
      <c r="YT22" s="468">
        <v>1255</v>
      </c>
      <c r="YU22" s="468"/>
      <c r="YV22" s="468">
        <v>13676</v>
      </c>
      <c r="YW22" s="468">
        <v>6655</v>
      </c>
      <c r="YX22" s="468">
        <v>1045318</v>
      </c>
      <c r="YY22" s="468"/>
      <c r="YZ22" s="468">
        <v>2996</v>
      </c>
      <c r="ZA22" s="468"/>
      <c r="ZB22" s="468">
        <v>5401897</v>
      </c>
      <c r="ZC22" s="468">
        <v>848278</v>
      </c>
      <c r="ZD22" s="468"/>
      <c r="ZE22" s="468">
        <v>109457</v>
      </c>
      <c r="ZF22" s="468"/>
      <c r="ZG22" s="468"/>
      <c r="ZH22" s="468">
        <v>1536769</v>
      </c>
      <c r="ZI22" s="468">
        <v>761050</v>
      </c>
      <c r="ZJ22" s="468">
        <v>13806</v>
      </c>
      <c r="ZK22" s="468">
        <v>280866</v>
      </c>
      <c r="ZL22" s="468"/>
      <c r="ZM22" s="468"/>
      <c r="ZN22" s="468"/>
      <c r="ZO22" s="468"/>
      <c r="ZP22" s="468">
        <v>0</v>
      </c>
      <c r="ZQ22" s="468">
        <v>0</v>
      </c>
      <c r="ZR22" s="468">
        <v>783</v>
      </c>
      <c r="ZS22" s="468">
        <v>382</v>
      </c>
      <c r="ZT22" s="468"/>
      <c r="ZU22" s="468"/>
      <c r="ZV22" s="468">
        <v>38774958</v>
      </c>
      <c r="ZW22" s="468">
        <v>4303650</v>
      </c>
      <c r="ZX22" s="468"/>
      <c r="ZY22" s="468"/>
      <c r="ZZ22" s="744">
        <v>15203</v>
      </c>
      <c r="AAA22" s="773">
        <v>0</v>
      </c>
      <c r="AAB22" s="773">
        <v>8466</v>
      </c>
      <c r="AAC22" s="755">
        <v>8390</v>
      </c>
      <c r="AAD22" s="772">
        <v>128628274</v>
      </c>
      <c r="AAE22" s="772">
        <v>1573239802</v>
      </c>
      <c r="AAF22" s="747">
        <f>10597525+513478</f>
        <v>11111003</v>
      </c>
      <c r="AAG22" s="747">
        <f>5723467+724122</f>
        <v>6447589</v>
      </c>
      <c r="AAH22" s="773"/>
      <c r="AAI22" s="773"/>
      <c r="AAJ22" s="772"/>
      <c r="AAK22" s="772"/>
      <c r="AAL22" s="773"/>
      <c r="AAM22" s="773"/>
      <c r="AAN22" s="746"/>
      <c r="AAO22" s="746"/>
      <c r="AAP22" s="747">
        <v>181431967</v>
      </c>
      <c r="AAQ22" s="747">
        <v>16254076</v>
      </c>
      <c r="AAR22" s="747"/>
      <c r="AAS22" s="747"/>
      <c r="AAT22" s="746"/>
      <c r="AAU22" s="746"/>
      <c r="AAV22" s="746">
        <v>231560444</v>
      </c>
      <c r="AAW22" s="746">
        <v>96660738</v>
      </c>
      <c r="AAX22" s="746">
        <v>0</v>
      </c>
      <c r="AAY22" s="746">
        <v>1526000</v>
      </c>
      <c r="AAZ22" s="746"/>
      <c r="ABA22" s="746"/>
      <c r="ABB22" s="746">
        <f>1370185878+116181286+1275411</f>
        <v>1487642575</v>
      </c>
      <c r="ABC22" s="746">
        <f>1636477805+202036078+415868</f>
        <v>1838929751</v>
      </c>
      <c r="ABD22" s="746">
        <v>5446000</v>
      </c>
      <c r="ABE22" s="746">
        <v>29384015</v>
      </c>
      <c r="ABF22" s="746">
        <v>40419660</v>
      </c>
      <c r="ABG22" s="746">
        <v>57702297</v>
      </c>
      <c r="ABH22" s="746">
        <v>446298</v>
      </c>
      <c r="ABI22" s="746">
        <v>1677562</v>
      </c>
      <c r="ABJ22" s="746">
        <v>1212882939</v>
      </c>
      <c r="ABK22" s="746">
        <v>1840263739</v>
      </c>
      <c r="ABL22" s="777"/>
      <c r="ABM22" s="746"/>
      <c r="ABN22" s="744">
        <f>239+225581</f>
        <v>225820</v>
      </c>
      <c r="ABO22" s="744">
        <f>10306+2073826</f>
        <v>2084132</v>
      </c>
      <c r="ABP22" s="746">
        <f>10183874+2309132293</f>
        <v>2319316167</v>
      </c>
      <c r="ABQ22" s="746">
        <f>292283+4440000215</f>
        <v>4440292498</v>
      </c>
      <c r="ABR22" s="773"/>
      <c r="ABS22" s="773"/>
      <c r="ABT22" s="773"/>
      <c r="ABU22" s="773"/>
      <c r="ABV22" s="744">
        <f>3428000+17648000</f>
        <v>21076000</v>
      </c>
      <c r="ABW22" s="744">
        <f>6477000+26690000</f>
        <v>33167000</v>
      </c>
      <c r="ABX22" s="746">
        <f>13694342.26+3734181.16</f>
        <v>17428523.420000002</v>
      </c>
      <c r="ABY22" s="746">
        <f>13244835.34+1723990.39</f>
        <v>14968825.73</v>
      </c>
      <c r="ABZ22" s="773"/>
      <c r="ACA22" s="773"/>
      <c r="ACB22" s="746">
        <v>414122768</v>
      </c>
      <c r="ACC22" s="746">
        <v>1301676464</v>
      </c>
      <c r="ACD22" s="746">
        <f>58573661+103953</f>
        <v>58677614</v>
      </c>
      <c r="ACE22" s="746">
        <f>22457030+2855956</f>
        <v>25312986</v>
      </c>
      <c r="ACF22" s="746">
        <v>80631605</v>
      </c>
      <c r="ACG22" s="746">
        <v>-199003465</v>
      </c>
      <c r="ACH22" s="746">
        <f>185542642+118643481</f>
        <v>304186123</v>
      </c>
      <c r="ACI22" s="746">
        <f>12208794+331002415</f>
        <v>343211209</v>
      </c>
      <c r="ACJ22" s="746">
        <v>1286123</v>
      </c>
      <c r="ACK22" s="746">
        <v>2465647</v>
      </c>
      <c r="ACL22" s="744"/>
      <c r="ACM22" s="744"/>
      <c r="ACN22" s="744">
        <f>193364+147731</f>
        <v>341095</v>
      </c>
      <c r="ACO22" s="744">
        <f>5686677+203800</f>
        <v>5890477</v>
      </c>
      <c r="ACP22" s="751">
        <v>9153787164</v>
      </c>
      <c r="ACQ22" s="772">
        <v>909695680</v>
      </c>
      <c r="ACR22" s="744"/>
      <c r="ACS22" s="773">
        <v>2231</v>
      </c>
      <c r="ACT22" s="746"/>
      <c r="ACU22" s="746">
        <v>91887751</v>
      </c>
      <c r="ACV22" s="773"/>
      <c r="ACW22" s="744">
        <v>5720000</v>
      </c>
      <c r="ACX22" s="746">
        <f>12002237633+25751228262+(-21656935889)</f>
        <v>16096530006</v>
      </c>
      <c r="ACY22" s="746">
        <f>19107456420+5682365064+(-26516754385)</f>
        <v>-1726932901</v>
      </c>
      <c r="ACZ22" s="605"/>
      <c r="ADA22" s="605"/>
      <c r="ADB22" s="605"/>
      <c r="ADC22" s="605"/>
      <c r="ADD22" s="605"/>
      <c r="ADE22" s="605"/>
      <c r="ADF22" s="605"/>
      <c r="ADG22" s="605"/>
      <c r="ADH22" s="605"/>
      <c r="ADI22" s="605"/>
      <c r="ADJ22" s="605"/>
      <c r="ADK22" s="605"/>
      <c r="ADL22" s="605"/>
      <c r="ADM22" s="605"/>
      <c r="ADN22" s="605"/>
      <c r="ADO22" s="605"/>
      <c r="ADP22" s="605"/>
      <c r="ADQ22" s="605"/>
      <c r="ADR22" s="605"/>
      <c r="ADS22" s="605"/>
      <c r="ADT22" s="605"/>
      <c r="ADU22" s="605"/>
      <c r="ADV22" s="605"/>
      <c r="ADW22" s="605"/>
      <c r="ADX22" s="605"/>
      <c r="ADY22" s="605"/>
      <c r="ADZ22" s="605"/>
      <c r="AEA22" s="605"/>
      <c r="AEB22" s="605"/>
      <c r="AEC22" s="605"/>
      <c r="AED22" s="605"/>
      <c r="AEE22" s="605"/>
      <c r="AEF22" s="605"/>
      <c r="AEG22" s="605"/>
      <c r="AEH22" s="605"/>
      <c r="AEI22" s="605"/>
      <c r="AEJ22" s="605"/>
      <c r="AEK22" s="605"/>
      <c r="AEL22" s="605"/>
      <c r="AEM22" s="605"/>
      <c r="AEN22" s="605"/>
      <c r="AEO22" s="605"/>
      <c r="AEP22" s="605"/>
      <c r="AEQ22" s="605"/>
      <c r="AER22" s="605"/>
      <c r="AES22" s="605"/>
      <c r="AET22" s="605"/>
      <c r="AEU22" s="605"/>
      <c r="AEV22" s="605"/>
      <c r="AEW22" s="605"/>
      <c r="AEX22" s="605"/>
      <c r="AEY22" s="605"/>
      <c r="AEZ22" s="605"/>
      <c r="AFA22" s="605"/>
      <c r="AFB22" s="605"/>
      <c r="AFC22" s="605"/>
      <c r="AFD22" s="605"/>
      <c r="AFE22" s="605"/>
      <c r="AFF22" s="605"/>
      <c r="AFG22" s="605"/>
      <c r="AFH22" s="605"/>
      <c r="AFI22" s="605"/>
      <c r="AFJ22" s="605"/>
      <c r="AFK22" s="605"/>
      <c r="AFL22" s="605"/>
      <c r="AFM22" s="605"/>
      <c r="AFN22" s="605"/>
      <c r="AFO22" s="605"/>
      <c r="AFP22" s="605"/>
      <c r="AFQ22" s="605"/>
      <c r="AFR22" s="605"/>
      <c r="AFS22" s="605"/>
      <c r="AFT22" s="605"/>
      <c r="AFU22" s="605"/>
      <c r="AFV22" s="605"/>
      <c r="AFW22" s="605"/>
      <c r="AFX22" s="605"/>
      <c r="AFY22" s="605"/>
      <c r="AFZ22" s="774">
        <v>25312986</v>
      </c>
      <c r="AGA22" s="774">
        <v>31686881</v>
      </c>
      <c r="AGB22" s="774">
        <v>1301676464</v>
      </c>
      <c r="AGC22" s="774">
        <v>1279367346</v>
      </c>
      <c r="AGD22" s="774">
        <v>1840263739</v>
      </c>
      <c r="AGE22" s="774">
        <v>781541622</v>
      </c>
      <c r="AGF22" s="774">
        <v>70909086</v>
      </c>
      <c r="AGG22" s="774">
        <v>79951738</v>
      </c>
      <c r="AGH22" s="774">
        <v>221321173</v>
      </c>
      <c r="AGI22" s="774">
        <v>720255260</v>
      </c>
      <c r="AGJ22" s="774">
        <v>470120</v>
      </c>
      <c r="AGK22" s="774">
        <v>2586556</v>
      </c>
      <c r="AGL22" s="774">
        <v>1838929751</v>
      </c>
      <c r="AGM22" s="774">
        <v>482341998</v>
      </c>
      <c r="AGN22" s="774">
        <v>4440292500</v>
      </c>
      <c r="AGO22" s="774">
        <v>16664123625</v>
      </c>
      <c r="AGP22" s="774">
        <v>70909086</v>
      </c>
      <c r="AGQ22" s="774">
        <v>79951738</v>
      </c>
      <c r="AGR22" s="774">
        <v>2084131958</v>
      </c>
      <c r="AGS22" s="774">
        <v>57965878</v>
      </c>
      <c r="AGT22" s="605"/>
      <c r="AGU22" s="605"/>
      <c r="AGV22" s="774">
        <v>91887751</v>
      </c>
      <c r="AGW22" s="774">
        <v>179533671</v>
      </c>
      <c r="AGX22" s="605" t="s">
        <v>224</v>
      </c>
      <c r="AGY22" s="605" t="s">
        <v>224</v>
      </c>
      <c r="AGZ22" s="774">
        <v>54931785</v>
      </c>
      <c r="AHA22" s="774">
        <v>93174754</v>
      </c>
      <c r="AHB22" s="774">
        <v>229954158</v>
      </c>
      <c r="AHC22" s="774">
        <v>18606716</v>
      </c>
      <c r="AHD22" s="605"/>
      <c r="AHE22" s="605"/>
      <c r="AHF22" s="774">
        <v>2027552000</v>
      </c>
      <c r="AHG22" s="774">
        <v>725000</v>
      </c>
      <c r="AHH22" s="774">
        <v>57702297</v>
      </c>
      <c r="AHI22" s="774">
        <v>1013858702</v>
      </c>
      <c r="AHJ22" s="774">
        <v>1526000</v>
      </c>
      <c r="AHK22" s="774">
        <v>101150000</v>
      </c>
      <c r="AHL22" s="774">
        <v>25815000</v>
      </c>
      <c r="AHM22" s="605"/>
      <c r="AHN22" s="774">
        <v>343211208</v>
      </c>
      <c r="AHO22" s="774">
        <v>278270637</v>
      </c>
      <c r="AHP22" s="774">
        <v>8390000</v>
      </c>
      <c r="AHQ22" s="774">
        <v>41111540</v>
      </c>
      <c r="AHR22" s="605"/>
      <c r="AHS22" s="605"/>
      <c r="AHT22" s="774">
        <v>96660738</v>
      </c>
      <c r="AHU22" s="774">
        <v>598962432</v>
      </c>
      <c r="AHV22" s="605"/>
      <c r="AHW22" s="605"/>
      <c r="AHX22" s="774">
        <v>1573239802</v>
      </c>
      <c r="AHY22" s="774">
        <v>100856923</v>
      </c>
      <c r="AHZ22" s="774">
        <v>31635925</v>
      </c>
      <c r="AIA22" s="774">
        <v>1666982991</v>
      </c>
      <c r="AIB22" s="774">
        <v>44440</v>
      </c>
      <c r="AIC22" s="774">
        <v>30505</v>
      </c>
      <c r="AID22" s="774">
        <v>6633000000</v>
      </c>
      <c r="AIE22" s="774">
        <v>3761000000</v>
      </c>
      <c r="AIF22" s="774">
        <v>177003000</v>
      </c>
      <c r="AIG22" s="774">
        <v>229660000</v>
      </c>
      <c r="AIH22" s="605"/>
      <c r="AII22" s="774">
        <v>25835332</v>
      </c>
      <c r="AIJ22" s="774">
        <v>3599816064</v>
      </c>
      <c r="AIK22" s="774">
        <v>2362384246</v>
      </c>
      <c r="AIL22" s="774">
        <v>43746368</v>
      </c>
      <c r="AIM22" s="774">
        <v>16548026</v>
      </c>
      <c r="AIN22" s="605"/>
      <c r="AIO22" s="605">
        <v>686</v>
      </c>
      <c r="AIP22" s="605"/>
      <c r="AIQ22" s="605"/>
      <c r="AIR22" s="774">
        <v>2895001000</v>
      </c>
      <c r="AIS22" s="774">
        <v>5229577000</v>
      </c>
      <c r="AIT22" s="774">
        <v>16254076</v>
      </c>
      <c r="AIU22" s="774">
        <v>24969755</v>
      </c>
      <c r="AIV22" s="774">
        <v>1535841</v>
      </c>
      <c r="AIW22" s="774">
        <v>26736380</v>
      </c>
      <c r="AIX22" s="774">
        <v>1440</v>
      </c>
      <c r="AIY22" s="774">
        <v>38234</v>
      </c>
      <c r="AIZ22" s="774">
        <v>11604523</v>
      </c>
      <c r="AJA22" s="774">
        <v>1652600</v>
      </c>
      <c r="AJB22" s="774">
        <v>1677562000</v>
      </c>
      <c r="AJC22" s="774">
        <v>3058699000</v>
      </c>
      <c r="AJD22" s="605"/>
      <c r="AJE22" s="774">
        <v>2000</v>
      </c>
      <c r="AJF22" s="774">
        <v>6633000000</v>
      </c>
      <c r="AJG22" s="774">
        <v>3761000000</v>
      </c>
      <c r="AJH22" s="774">
        <v>14968825</v>
      </c>
      <c r="AJI22" s="774">
        <v>114916988</v>
      </c>
      <c r="AJJ22" s="774">
        <v>909695680</v>
      </c>
      <c r="AJK22" s="774">
        <v>3960515565</v>
      </c>
      <c r="AJL22" s="774">
        <v>167507750</v>
      </c>
      <c r="AJM22" s="774">
        <v>14519448</v>
      </c>
      <c r="AJN22" s="774">
        <v>84000000</v>
      </c>
      <c r="AJO22" s="605"/>
    </row>
    <row r="23" spans="1:951" x14ac:dyDescent="0.25">
      <c r="A23" s="90" t="s">
        <v>27</v>
      </c>
      <c r="B23" s="98">
        <v>0</v>
      </c>
      <c r="C23" s="98">
        <v>19378654.379000001</v>
      </c>
      <c r="D23" s="98">
        <v>24858086.399</v>
      </c>
      <c r="E23" s="98">
        <v>5737431</v>
      </c>
      <c r="F23" s="98">
        <v>30663018</v>
      </c>
      <c r="G23" s="98">
        <v>1651413</v>
      </c>
      <c r="H23" s="98">
        <v>1133948</v>
      </c>
      <c r="I23" s="98">
        <v>1458982.6040000001</v>
      </c>
      <c r="J23" s="98">
        <v>1644983</v>
      </c>
      <c r="K23" s="98">
        <v>0</v>
      </c>
      <c r="L23" s="98">
        <v>9761692.220999999</v>
      </c>
      <c r="M23" s="98">
        <v>10624449.694</v>
      </c>
      <c r="N23" s="98">
        <v>11745731.162</v>
      </c>
      <c r="O23" s="99">
        <v>12827332</v>
      </c>
      <c r="P23" s="99">
        <v>12690121</v>
      </c>
      <c r="Q23" s="99">
        <v>0</v>
      </c>
      <c r="R23" s="99">
        <v>1097988.6629999999</v>
      </c>
      <c r="S23" s="99">
        <v>1164286</v>
      </c>
      <c r="T23" s="99">
        <v>1302847</v>
      </c>
      <c r="U23" s="99">
        <v>1261409</v>
      </c>
      <c r="V23" s="98">
        <v>0</v>
      </c>
      <c r="W23" s="98">
        <v>0</v>
      </c>
      <c r="X23" s="98">
        <v>1687887</v>
      </c>
      <c r="Y23" s="98">
        <v>2950966</v>
      </c>
      <c r="Z23" s="98">
        <v>3104811</v>
      </c>
      <c r="AA23" s="98">
        <v>0</v>
      </c>
      <c r="AB23" s="98">
        <v>142384.63</v>
      </c>
      <c r="AC23" s="98">
        <v>895236.73300000001</v>
      </c>
      <c r="AD23" s="98">
        <v>1663850</v>
      </c>
      <c r="AE23" s="98">
        <v>1392594</v>
      </c>
      <c r="AF23" s="98">
        <v>630504</v>
      </c>
      <c r="AG23" s="98">
        <v>2505421.4749999996</v>
      </c>
      <c r="AH23" s="98">
        <v>763971.20799999998</v>
      </c>
      <c r="AI23" s="99">
        <v>875200</v>
      </c>
      <c r="AJ23" s="99">
        <v>937075</v>
      </c>
      <c r="AK23" s="98">
        <v>0</v>
      </c>
      <c r="AL23" s="98">
        <v>878064.31900000002</v>
      </c>
      <c r="AM23" s="98">
        <v>812060.31</v>
      </c>
      <c r="AN23" s="98">
        <v>661948</v>
      </c>
      <c r="AO23" s="98">
        <v>1075771</v>
      </c>
      <c r="AP23" s="98">
        <v>0</v>
      </c>
      <c r="AQ23" s="98">
        <v>115441</v>
      </c>
      <c r="AR23" s="98">
        <v>175874</v>
      </c>
      <c r="AS23" s="98">
        <v>336200</v>
      </c>
      <c r="AT23" s="98">
        <v>584433</v>
      </c>
      <c r="AU23" s="98">
        <v>310389</v>
      </c>
      <c r="AV23" s="98">
        <v>695211</v>
      </c>
      <c r="AW23" s="98">
        <v>781026</v>
      </c>
      <c r="AX23" s="98">
        <v>223097</v>
      </c>
      <c r="AY23" s="98">
        <v>0</v>
      </c>
      <c r="AZ23" s="98">
        <v>1291560.4980000001</v>
      </c>
      <c r="BA23" s="98">
        <v>1656005.4410000001</v>
      </c>
      <c r="BB23" s="98">
        <v>1275004.362</v>
      </c>
      <c r="BC23" s="98">
        <v>87279</v>
      </c>
      <c r="BD23" s="98">
        <v>179137</v>
      </c>
      <c r="BE23" s="98">
        <v>0</v>
      </c>
      <c r="BF23" s="98">
        <v>1528415.4879999999</v>
      </c>
      <c r="BG23" s="98">
        <v>2180932.7760000001</v>
      </c>
      <c r="BH23" s="98">
        <v>2781293</v>
      </c>
      <c r="BI23" s="98">
        <v>3301348</v>
      </c>
      <c r="BJ23" s="98">
        <v>0</v>
      </c>
      <c r="BK23" s="98">
        <v>0</v>
      </c>
      <c r="BL23" s="98">
        <v>0</v>
      </c>
      <c r="BM23" s="98">
        <v>0</v>
      </c>
      <c r="BN23" s="98">
        <v>1851532</v>
      </c>
      <c r="BO23" s="98">
        <v>0</v>
      </c>
      <c r="BP23" s="98">
        <v>0</v>
      </c>
      <c r="BQ23" s="98">
        <v>370447</v>
      </c>
      <c r="BR23" s="98">
        <v>996839</v>
      </c>
      <c r="BS23" s="98">
        <v>1599771</v>
      </c>
      <c r="BT23" s="98">
        <v>294252.70699999999</v>
      </c>
      <c r="BU23" s="98">
        <v>177461.62099999998</v>
      </c>
      <c r="BV23" s="98">
        <v>269541</v>
      </c>
      <c r="BW23" s="98">
        <v>703334</v>
      </c>
      <c r="BX23" s="98">
        <v>59076</v>
      </c>
      <c r="BY23" s="98">
        <v>0</v>
      </c>
      <c r="BZ23" s="98">
        <v>5265795.977</v>
      </c>
      <c r="CA23" s="98">
        <v>3842059.227</v>
      </c>
      <c r="CB23" s="98">
        <v>5870197</v>
      </c>
      <c r="CC23" s="98">
        <v>5441542</v>
      </c>
      <c r="CD23" s="98">
        <v>192281.5</v>
      </c>
      <c r="CE23" s="98">
        <v>233557.91500000001</v>
      </c>
      <c r="CF23" s="98">
        <v>61722.811999999998</v>
      </c>
      <c r="CG23" s="98">
        <v>204299</v>
      </c>
      <c r="CH23" s="98">
        <v>468218</v>
      </c>
      <c r="CI23" s="98">
        <v>0</v>
      </c>
      <c r="CJ23" s="98">
        <v>0</v>
      </c>
      <c r="CK23" s="98">
        <v>2240.1759999999999</v>
      </c>
      <c r="CL23" s="98">
        <v>1378834</v>
      </c>
      <c r="CM23" s="98">
        <v>0</v>
      </c>
      <c r="CN23" s="98">
        <v>0</v>
      </c>
      <c r="CO23" s="98">
        <v>0</v>
      </c>
      <c r="CP23" s="98">
        <v>3136958.5240000002</v>
      </c>
      <c r="CQ23" s="99">
        <v>3760524</v>
      </c>
      <c r="CR23" s="99">
        <v>3265395</v>
      </c>
      <c r="CS23" s="98">
        <v>0</v>
      </c>
      <c r="CT23" s="98">
        <v>155509</v>
      </c>
      <c r="CU23" s="98">
        <v>326451</v>
      </c>
      <c r="CV23" s="98">
        <v>0</v>
      </c>
      <c r="CW23" s="98">
        <v>520951</v>
      </c>
      <c r="CX23" s="98">
        <v>0</v>
      </c>
      <c r="CY23" s="98">
        <v>48740</v>
      </c>
      <c r="CZ23" s="98">
        <v>51240</v>
      </c>
      <c r="DA23" s="99">
        <v>67160</v>
      </c>
      <c r="DB23" s="99">
        <v>67200</v>
      </c>
      <c r="DC23" s="98">
        <v>72171</v>
      </c>
      <c r="DD23" s="98">
        <v>172225</v>
      </c>
      <c r="DE23" s="98">
        <v>186105</v>
      </c>
      <c r="DF23" s="98">
        <v>479213</v>
      </c>
      <c r="DG23" s="98">
        <v>612254</v>
      </c>
      <c r="DH23" s="98">
        <v>0</v>
      </c>
      <c r="DI23" s="98">
        <v>0</v>
      </c>
      <c r="DJ23" s="98">
        <v>0</v>
      </c>
      <c r="DK23" s="98">
        <v>0</v>
      </c>
      <c r="DL23" s="98">
        <v>0</v>
      </c>
      <c r="DM23" s="101">
        <v>5319781</v>
      </c>
      <c r="DN23" s="98">
        <v>4398042</v>
      </c>
      <c r="DO23" s="98">
        <v>5612623</v>
      </c>
      <c r="DP23" s="98">
        <v>7138594</v>
      </c>
      <c r="DQ23" s="98">
        <v>6789465</v>
      </c>
      <c r="DR23" s="98">
        <v>84901475.328999996</v>
      </c>
      <c r="DS23" s="98">
        <v>79473175.368000001</v>
      </c>
      <c r="DT23" s="98">
        <v>217284764.99700001</v>
      </c>
      <c r="DU23" s="98">
        <v>479968894</v>
      </c>
      <c r="DV23" s="98">
        <v>476174828</v>
      </c>
      <c r="DW23" s="98">
        <v>1046292.812</v>
      </c>
      <c r="DX23" s="98">
        <v>767649.98499999999</v>
      </c>
      <c r="DY23" s="98">
        <v>1372329.507</v>
      </c>
      <c r="DZ23" s="98">
        <v>1626537</v>
      </c>
      <c r="EA23" s="98">
        <v>1340548</v>
      </c>
      <c r="EB23" s="98">
        <v>0</v>
      </c>
      <c r="EC23" s="98">
        <v>0</v>
      </c>
      <c r="ED23" s="98">
        <v>0</v>
      </c>
      <c r="EE23" s="98">
        <v>0</v>
      </c>
      <c r="EF23" s="98">
        <v>190058</v>
      </c>
      <c r="EG23" s="98">
        <v>0</v>
      </c>
      <c r="EH23" s="98">
        <v>0</v>
      </c>
      <c r="EI23" s="98">
        <v>0</v>
      </c>
      <c r="EJ23" s="98">
        <v>461030</v>
      </c>
      <c r="EK23" s="98">
        <v>251476</v>
      </c>
      <c r="EL23" s="98">
        <v>0</v>
      </c>
      <c r="EM23" s="98">
        <v>0</v>
      </c>
      <c r="EN23" s="98">
        <v>0</v>
      </c>
      <c r="EO23" s="98">
        <v>340939</v>
      </c>
      <c r="EP23" s="98">
        <v>363580</v>
      </c>
      <c r="EQ23" s="98">
        <v>0</v>
      </c>
      <c r="ER23" s="98">
        <v>0</v>
      </c>
      <c r="ES23" s="98">
        <v>0</v>
      </c>
      <c r="ET23" s="98">
        <v>0</v>
      </c>
      <c r="EU23" s="98">
        <v>1508742</v>
      </c>
      <c r="EV23" s="98">
        <v>1553679</v>
      </c>
      <c r="EW23" s="98">
        <v>1356570</v>
      </c>
      <c r="EX23" s="99">
        <v>12690121</v>
      </c>
      <c r="EY23" s="99">
        <v>12947920</v>
      </c>
      <c r="EZ23" s="99">
        <v>1261409</v>
      </c>
      <c r="FA23" s="99">
        <v>1609284</v>
      </c>
      <c r="FB23" s="98">
        <v>1392594</v>
      </c>
      <c r="FC23" s="98">
        <v>1801829</v>
      </c>
      <c r="FD23" s="99">
        <v>937075</v>
      </c>
      <c r="FE23" s="98">
        <v>729838</v>
      </c>
      <c r="FF23" s="98">
        <v>1075771</v>
      </c>
      <c r="FG23" s="98">
        <v>972127</v>
      </c>
      <c r="FH23" s="98">
        <v>584433</v>
      </c>
      <c r="FI23" s="98">
        <v>0</v>
      </c>
      <c r="FJ23" s="98">
        <v>0</v>
      </c>
      <c r="FK23" s="98">
        <v>0</v>
      </c>
      <c r="FL23" s="98">
        <v>0</v>
      </c>
      <c r="FM23" s="98">
        <v>947161</v>
      </c>
      <c r="FN23" s="98">
        <v>1599771</v>
      </c>
      <c r="FO23" s="98">
        <v>1195344</v>
      </c>
      <c r="FP23" s="98">
        <v>3301348</v>
      </c>
      <c r="FQ23" s="98">
        <v>3679698</v>
      </c>
      <c r="FR23" s="98">
        <v>59076</v>
      </c>
      <c r="FS23" s="98">
        <v>0</v>
      </c>
      <c r="FT23" s="98">
        <v>179137</v>
      </c>
      <c r="FU23" s="98">
        <v>155862</v>
      </c>
      <c r="FV23" s="98">
        <v>5441542</v>
      </c>
      <c r="FW23" s="99">
        <v>4217551</v>
      </c>
      <c r="FX23" s="98">
        <v>190058</v>
      </c>
      <c r="FY23" s="98">
        <v>517861</v>
      </c>
      <c r="FZ23" s="98">
        <v>3104811</v>
      </c>
      <c r="GA23" s="98">
        <v>3433978</v>
      </c>
      <c r="GB23" s="98">
        <v>1851532</v>
      </c>
      <c r="GC23" s="98">
        <v>1767761</v>
      </c>
      <c r="GD23" s="98">
        <v>468218</v>
      </c>
      <c r="GE23" s="98">
        <v>998779</v>
      </c>
      <c r="GF23" s="98"/>
      <c r="GG23" s="98"/>
      <c r="GH23" s="99">
        <v>3265395</v>
      </c>
      <c r="GI23" s="98">
        <v>3227323</v>
      </c>
      <c r="GJ23" s="98">
        <v>43000</v>
      </c>
      <c r="GK23" s="98">
        <v>58700</v>
      </c>
      <c r="GL23" s="98">
        <v>24993369</v>
      </c>
      <c r="GM23" s="98">
        <v>19599123</v>
      </c>
      <c r="GN23" s="98">
        <v>6580682</v>
      </c>
      <c r="GO23" s="98">
        <v>4506837</v>
      </c>
      <c r="GP23" s="98">
        <v>0</v>
      </c>
      <c r="GQ23" s="98">
        <v>0</v>
      </c>
      <c r="GR23" s="98"/>
      <c r="GS23" s="98"/>
      <c r="GT23" s="98">
        <v>3870257</v>
      </c>
      <c r="GU23" s="98">
        <v>2820466</v>
      </c>
      <c r="GV23" s="98">
        <v>0</v>
      </c>
      <c r="GW23" s="98">
        <v>0</v>
      </c>
      <c r="GX23" s="98">
        <v>1925642</v>
      </c>
      <c r="GY23" s="98">
        <v>971688</v>
      </c>
      <c r="GZ23" s="98">
        <v>57326676</v>
      </c>
      <c r="HA23" s="98">
        <v>79670676</v>
      </c>
      <c r="HB23" s="98">
        <v>5854189</v>
      </c>
      <c r="HC23" s="98">
        <v>6001314</v>
      </c>
      <c r="HD23" s="98">
        <v>1966204</v>
      </c>
      <c r="HE23" s="98">
        <v>1921394</v>
      </c>
      <c r="HF23" s="98">
        <v>10963191</v>
      </c>
      <c r="HG23" s="98">
        <v>11337978</v>
      </c>
      <c r="HH23" s="98">
        <v>187108280</v>
      </c>
      <c r="HI23" s="98">
        <v>225632078</v>
      </c>
      <c r="HJ23" s="98">
        <v>4329426</v>
      </c>
      <c r="HK23" s="98">
        <v>3547356</v>
      </c>
      <c r="HL23" s="98">
        <v>2111527</v>
      </c>
      <c r="HM23" s="98">
        <v>17027595</v>
      </c>
      <c r="HN23" s="98">
        <v>748156</v>
      </c>
      <c r="HO23" s="98">
        <v>881056</v>
      </c>
      <c r="HP23" s="98">
        <v>39704</v>
      </c>
      <c r="HQ23" s="98">
        <v>334451</v>
      </c>
      <c r="HR23" s="98">
        <v>3912978</v>
      </c>
      <c r="HS23" s="98">
        <v>3936767</v>
      </c>
      <c r="HT23" s="98">
        <v>251476</v>
      </c>
      <c r="HU23" s="98">
        <v>0</v>
      </c>
      <c r="HV23" s="98">
        <v>363580</v>
      </c>
      <c r="HW23" s="98">
        <v>218398</v>
      </c>
      <c r="HX23" s="98">
        <v>9120524</v>
      </c>
      <c r="HY23" s="98">
        <v>11314487</v>
      </c>
      <c r="HZ23" s="98">
        <v>10867870</v>
      </c>
      <c r="IA23" s="98">
        <v>13252036</v>
      </c>
      <c r="IB23" s="98">
        <v>4427033</v>
      </c>
      <c r="IC23" s="98">
        <v>4272445</v>
      </c>
      <c r="ID23" s="98">
        <v>31954770</v>
      </c>
      <c r="IE23" s="98">
        <v>24494798</v>
      </c>
      <c r="IF23" s="98">
        <v>8284794</v>
      </c>
      <c r="IG23" s="98">
        <v>9336061</v>
      </c>
      <c r="IH23" s="98">
        <v>1213466</v>
      </c>
      <c r="II23" s="98">
        <v>1393353</v>
      </c>
      <c r="IJ23" s="98">
        <v>7303397</v>
      </c>
      <c r="IK23" s="98">
        <v>8235264</v>
      </c>
      <c r="IL23" s="98">
        <v>1508742</v>
      </c>
      <c r="IM23" s="98">
        <v>3291439</v>
      </c>
      <c r="IN23" s="98">
        <v>0</v>
      </c>
      <c r="IO23" s="98">
        <v>0</v>
      </c>
      <c r="IP23" s="99">
        <v>67200</v>
      </c>
      <c r="IQ23" s="98">
        <v>68200</v>
      </c>
      <c r="IR23" s="98">
        <v>612254</v>
      </c>
      <c r="IS23" s="98">
        <v>197012</v>
      </c>
      <c r="IT23" s="98">
        <v>0</v>
      </c>
      <c r="IU23" s="98">
        <v>378079</v>
      </c>
      <c r="IV23" s="98">
        <v>6789465</v>
      </c>
      <c r="IW23" s="98">
        <v>6789465</v>
      </c>
      <c r="IX23" s="98">
        <v>476174828</v>
      </c>
      <c r="IY23" s="98">
        <v>500701582</v>
      </c>
      <c r="IZ23" s="98">
        <v>1340548</v>
      </c>
      <c r="JA23" s="98">
        <v>1490650</v>
      </c>
      <c r="JB23" s="98">
        <v>1356570</v>
      </c>
      <c r="JC23" s="98">
        <v>1502558</v>
      </c>
      <c r="JD23" s="99">
        <v>12947920</v>
      </c>
      <c r="JE23" s="99">
        <v>11285917</v>
      </c>
      <c r="JF23" s="99">
        <v>1609284</v>
      </c>
      <c r="JG23" s="99">
        <v>1307616</v>
      </c>
      <c r="JH23" s="98">
        <v>1801829</v>
      </c>
      <c r="JI23" s="98">
        <v>1835935</v>
      </c>
      <c r="JJ23" s="99">
        <v>729838</v>
      </c>
      <c r="JK23" s="98">
        <v>928722</v>
      </c>
      <c r="JL23" s="98">
        <v>972127</v>
      </c>
      <c r="JM23" s="98">
        <v>1069123</v>
      </c>
      <c r="JN23" s="98">
        <v>560208</v>
      </c>
      <c r="JO23" s="98">
        <v>0</v>
      </c>
      <c r="JP23" s="98">
        <v>0</v>
      </c>
      <c r="JQ23" s="98">
        <v>0</v>
      </c>
      <c r="JR23" s="98">
        <v>947161</v>
      </c>
      <c r="JS23" s="98">
        <v>819871</v>
      </c>
      <c r="JT23" s="98">
        <v>1195344</v>
      </c>
      <c r="JU23" s="98">
        <v>975308</v>
      </c>
      <c r="JV23" s="98">
        <v>3679698</v>
      </c>
      <c r="JW23" s="98">
        <v>2987382</v>
      </c>
      <c r="JX23" s="98">
        <v>0</v>
      </c>
      <c r="JY23" s="98">
        <v>0</v>
      </c>
      <c r="JZ23" s="98">
        <v>155862</v>
      </c>
      <c r="KA23" s="98">
        <v>933175</v>
      </c>
      <c r="KB23" s="98">
        <v>4217551</v>
      </c>
      <c r="KC23" s="99">
        <v>3308112</v>
      </c>
      <c r="KD23" s="98">
        <v>517861</v>
      </c>
      <c r="KE23" s="98">
        <v>618743</v>
      </c>
      <c r="KF23" s="98">
        <v>3433978</v>
      </c>
      <c r="KG23" s="98">
        <v>2530561</v>
      </c>
      <c r="KH23" s="98">
        <v>1767761</v>
      </c>
      <c r="KI23" s="98">
        <v>0</v>
      </c>
      <c r="KJ23" s="98">
        <v>998779</v>
      </c>
      <c r="KK23" s="98">
        <v>1463765</v>
      </c>
      <c r="KL23" s="98">
        <v>515000</v>
      </c>
      <c r="KM23" s="98">
        <v>0</v>
      </c>
      <c r="KN23" s="98">
        <v>3227323</v>
      </c>
      <c r="KO23" s="98">
        <v>2983271</v>
      </c>
      <c r="KP23" s="98">
        <v>58700</v>
      </c>
      <c r="KQ23" s="98">
        <v>0</v>
      </c>
      <c r="KR23" s="98">
        <v>19599123</v>
      </c>
      <c r="KS23" s="98">
        <v>15154073</v>
      </c>
      <c r="KT23" s="98">
        <v>4506837</v>
      </c>
      <c r="KU23" s="98">
        <v>1698938</v>
      </c>
      <c r="KV23" s="98">
        <v>0</v>
      </c>
      <c r="KW23" s="98">
        <v>0</v>
      </c>
      <c r="KX23" s="98"/>
      <c r="KY23" s="98"/>
      <c r="KZ23" s="98">
        <v>2820466</v>
      </c>
      <c r="LA23" s="98">
        <v>2550560</v>
      </c>
      <c r="LB23" s="98">
        <v>0</v>
      </c>
      <c r="LC23" s="98">
        <v>330780</v>
      </c>
      <c r="LD23" s="98">
        <v>971688</v>
      </c>
      <c r="LE23" s="98">
        <v>2136603</v>
      </c>
      <c r="LF23" s="98">
        <v>79670676</v>
      </c>
      <c r="LG23" s="98">
        <v>68535546</v>
      </c>
      <c r="LH23" s="98">
        <v>6001314</v>
      </c>
      <c r="LI23" s="98">
        <v>6802091</v>
      </c>
      <c r="LJ23" s="98">
        <v>1921394</v>
      </c>
      <c r="LK23" s="98">
        <v>2141694</v>
      </c>
      <c r="LL23" s="98">
        <v>11337978</v>
      </c>
      <c r="LM23" s="98">
        <v>5099229</v>
      </c>
      <c r="LN23" s="98">
        <v>225632078</v>
      </c>
      <c r="LO23" s="98">
        <v>214004862</v>
      </c>
      <c r="LP23" s="98">
        <v>3547356</v>
      </c>
      <c r="LQ23" s="98">
        <v>131935</v>
      </c>
      <c r="LR23" s="98">
        <v>17027595</v>
      </c>
      <c r="LS23" s="98">
        <v>28081000</v>
      </c>
      <c r="LT23" s="98">
        <v>881056</v>
      </c>
      <c r="LU23" s="98">
        <v>651926</v>
      </c>
      <c r="LV23" s="98">
        <v>334451</v>
      </c>
      <c r="LW23" s="98">
        <v>383924</v>
      </c>
      <c r="LX23" s="98">
        <v>3936767</v>
      </c>
      <c r="LY23" s="98">
        <v>9134284</v>
      </c>
      <c r="LZ23" s="98">
        <v>0</v>
      </c>
      <c r="MA23" s="98">
        <v>0</v>
      </c>
      <c r="MB23" s="98">
        <v>218398</v>
      </c>
      <c r="MC23" s="98">
        <v>344089</v>
      </c>
      <c r="MD23" s="98">
        <v>11314487</v>
      </c>
      <c r="ME23" s="98">
        <v>6509450</v>
      </c>
      <c r="MF23" s="98">
        <v>13252036</v>
      </c>
      <c r="MG23" s="98">
        <v>18398238</v>
      </c>
      <c r="MH23" s="98">
        <v>4272445</v>
      </c>
      <c r="MI23" s="98">
        <v>3943724</v>
      </c>
      <c r="MJ23" s="98">
        <v>24494798</v>
      </c>
      <c r="MK23" s="98">
        <v>26395024</v>
      </c>
      <c r="ML23" s="98">
        <v>9336061</v>
      </c>
      <c r="MM23" s="98">
        <v>9155168</v>
      </c>
      <c r="MN23" s="98">
        <v>1393353</v>
      </c>
      <c r="MO23" s="98">
        <v>2082817</v>
      </c>
      <c r="MP23" s="98">
        <v>8235264</v>
      </c>
      <c r="MQ23" s="98">
        <v>11379523</v>
      </c>
      <c r="MR23" s="98">
        <v>3291439</v>
      </c>
      <c r="MS23" s="98">
        <v>4960087</v>
      </c>
      <c r="MT23" s="98">
        <v>482360</v>
      </c>
      <c r="MU23" s="98">
        <v>482360</v>
      </c>
      <c r="MV23" s="98">
        <v>68200</v>
      </c>
      <c r="MW23" s="98">
        <v>147525</v>
      </c>
      <c r="MX23" s="98">
        <v>197012</v>
      </c>
      <c r="MY23" s="98">
        <v>214700</v>
      </c>
      <c r="MZ23" s="98">
        <v>378079</v>
      </c>
      <c r="NA23" s="98">
        <v>621783</v>
      </c>
      <c r="NB23" s="98">
        <v>6789465</v>
      </c>
      <c r="NC23" s="98">
        <v>5971578</v>
      </c>
      <c r="ND23" s="98">
        <v>500701582</v>
      </c>
      <c r="NE23" s="98">
        <v>220729940</v>
      </c>
      <c r="NF23" s="98">
        <v>1490650</v>
      </c>
      <c r="NG23" s="98">
        <v>1747381</v>
      </c>
      <c r="NH23" s="759">
        <v>1502558</v>
      </c>
      <c r="NI23" s="759">
        <f t="shared" ref="NI23:OS23" si="10">SUM(NI21:NI22)</f>
        <v>989933</v>
      </c>
      <c r="NJ23" s="393">
        <f t="shared" si="10"/>
        <v>15567591</v>
      </c>
      <c r="NK23" s="393">
        <f t="shared" si="10"/>
        <v>9813056</v>
      </c>
      <c r="NL23" s="393">
        <v>1307616</v>
      </c>
      <c r="NM23" s="393">
        <f t="shared" si="10"/>
        <v>604610</v>
      </c>
      <c r="NN23" s="759">
        <f t="shared" si="10"/>
        <v>1835935</v>
      </c>
      <c r="NO23" s="759">
        <f t="shared" si="10"/>
        <v>2143783</v>
      </c>
      <c r="NP23" s="393">
        <v>928722</v>
      </c>
      <c r="NQ23" s="759">
        <f t="shared" si="10"/>
        <v>1016225</v>
      </c>
      <c r="NR23" s="759">
        <v>1069123</v>
      </c>
      <c r="NS23" s="759">
        <f t="shared" si="10"/>
        <v>1033593</v>
      </c>
      <c r="NT23" s="759">
        <v>560208</v>
      </c>
      <c r="NU23" s="759">
        <f t="shared" si="10"/>
        <v>0</v>
      </c>
      <c r="NV23" s="759">
        <f t="shared" si="10"/>
        <v>0</v>
      </c>
      <c r="NW23" s="759">
        <f t="shared" si="10"/>
        <v>0</v>
      </c>
      <c r="NX23" s="759">
        <v>819871</v>
      </c>
      <c r="NY23" s="759">
        <f t="shared" si="10"/>
        <v>1176823</v>
      </c>
      <c r="NZ23" s="759">
        <f>SUM(NZ21:NZ22)</f>
        <v>975308</v>
      </c>
      <c r="OA23" s="759">
        <f t="shared" si="10"/>
        <v>1155126</v>
      </c>
      <c r="OB23" s="759">
        <v>2987382</v>
      </c>
      <c r="OC23" s="759">
        <f>SUM(OC21:OC22)</f>
        <v>1934089</v>
      </c>
      <c r="OD23" s="759">
        <v>0</v>
      </c>
      <c r="OE23" s="759">
        <f t="shared" si="10"/>
        <v>0</v>
      </c>
      <c r="OF23" s="759">
        <f t="shared" si="10"/>
        <v>933175</v>
      </c>
      <c r="OG23" s="759">
        <f t="shared" si="10"/>
        <v>1024178</v>
      </c>
      <c r="OH23" s="759">
        <v>3308112</v>
      </c>
      <c r="OI23" s="393">
        <f t="shared" si="10"/>
        <v>2375955</v>
      </c>
      <c r="OJ23" s="759">
        <v>618743</v>
      </c>
      <c r="OK23" s="759">
        <f t="shared" si="10"/>
        <v>1474250</v>
      </c>
      <c r="OL23" s="759">
        <f>SUM(OL21:OL22)</f>
        <v>2530561</v>
      </c>
      <c r="OM23" s="759">
        <f t="shared" si="10"/>
        <v>2584984</v>
      </c>
      <c r="ON23" s="759">
        <f>SUM(ON21:ON22)</f>
        <v>0</v>
      </c>
      <c r="OO23" s="759">
        <f t="shared" si="10"/>
        <v>2053955</v>
      </c>
      <c r="OP23" s="759">
        <v>1463765</v>
      </c>
      <c r="OQ23" s="759">
        <f t="shared" si="10"/>
        <v>570477</v>
      </c>
      <c r="OR23" s="759">
        <v>0</v>
      </c>
      <c r="OS23" s="759">
        <f t="shared" si="10"/>
        <v>0</v>
      </c>
      <c r="OT23" s="759">
        <v>2983271</v>
      </c>
      <c r="OU23" s="759">
        <f t="shared" ref="OU23:PA23" si="11">SUM(OU21:OU22)</f>
        <v>1836837</v>
      </c>
      <c r="OV23" s="759">
        <f>SUM(OV21:OV22)</f>
        <v>0</v>
      </c>
      <c r="OW23" s="759">
        <f t="shared" si="11"/>
        <v>434419</v>
      </c>
      <c r="OX23" s="759">
        <v>15154073</v>
      </c>
      <c r="OY23" s="759">
        <f t="shared" si="11"/>
        <v>22244282</v>
      </c>
      <c r="OZ23" s="759">
        <v>1698938</v>
      </c>
      <c r="PA23" s="759">
        <f t="shared" si="11"/>
        <v>547313</v>
      </c>
      <c r="PB23" s="759">
        <f>SUM(PB21:PB22)</f>
        <v>144200</v>
      </c>
      <c r="PC23" s="759">
        <f>SUM(PC21:PC22)</f>
        <v>151410</v>
      </c>
      <c r="PD23" s="759"/>
      <c r="PE23" s="759"/>
      <c r="PF23" s="759">
        <v>2550560</v>
      </c>
      <c r="PG23" s="759">
        <f>SUM(PG21:PG22)</f>
        <v>3418967</v>
      </c>
      <c r="PH23" s="759">
        <v>330780</v>
      </c>
      <c r="PI23" s="759">
        <f>SUM(PI21:PI22)</f>
        <v>0</v>
      </c>
      <c r="PJ23" s="759">
        <v>2136603</v>
      </c>
      <c r="PK23" s="759">
        <f>SUM(PK21:PK22)</f>
        <v>2621068</v>
      </c>
      <c r="PL23" s="759">
        <f>SUM(PL21:PL22)</f>
        <v>63071017</v>
      </c>
      <c r="PM23" s="759">
        <f>SUM(PM21:PM22)</f>
        <v>58196174</v>
      </c>
      <c r="PN23" s="759">
        <f>SUM(PN21:PN22)</f>
        <v>6649585</v>
      </c>
      <c r="PO23" s="759">
        <f>SUM(PO21:PO22)</f>
        <v>8545077</v>
      </c>
      <c r="PP23" s="759">
        <v>2141694</v>
      </c>
      <c r="PQ23" s="759">
        <f>SUM(PQ21:PQ22)</f>
        <v>2195192</v>
      </c>
      <c r="PR23" s="759">
        <v>5099229</v>
      </c>
      <c r="PS23" s="759">
        <f t="shared" ref="PS23:PY23" si="12">SUM(PS21:PS22)</f>
        <v>3015376</v>
      </c>
      <c r="PT23" s="759">
        <f t="shared" si="12"/>
        <v>213607626</v>
      </c>
      <c r="PU23" s="759">
        <f t="shared" si="12"/>
        <v>230008451</v>
      </c>
      <c r="PV23" s="759">
        <f t="shared" si="12"/>
        <v>3547356</v>
      </c>
      <c r="PW23" s="759">
        <f t="shared" si="12"/>
        <v>131935</v>
      </c>
      <c r="PX23" s="759">
        <f t="shared" si="12"/>
        <v>30334000</v>
      </c>
      <c r="PY23" s="759">
        <f t="shared" si="12"/>
        <v>38919000</v>
      </c>
      <c r="PZ23" s="759">
        <v>651926</v>
      </c>
      <c r="QA23" s="759">
        <f t="shared" ref="QA23:QI23" si="13">SUM(QA21:QA22)</f>
        <v>870614</v>
      </c>
      <c r="QB23" s="759">
        <v>383924</v>
      </c>
      <c r="QC23" s="759">
        <f t="shared" si="13"/>
        <v>1223582</v>
      </c>
      <c r="QD23" s="759">
        <v>9134284</v>
      </c>
      <c r="QE23" s="759">
        <f t="shared" si="13"/>
        <v>8705792</v>
      </c>
      <c r="QF23" s="759">
        <f t="shared" si="13"/>
        <v>0</v>
      </c>
      <c r="QG23" s="759">
        <f t="shared" si="13"/>
        <v>0</v>
      </c>
      <c r="QH23" s="759">
        <f t="shared" si="13"/>
        <v>344089</v>
      </c>
      <c r="QI23" s="759">
        <f t="shared" si="13"/>
        <v>368948</v>
      </c>
      <c r="QJ23" s="759">
        <v>6509450</v>
      </c>
      <c r="QK23" s="759">
        <f t="shared" ref="QK23:RK23" si="14">SUM(QK21:QK22)</f>
        <v>4756176</v>
      </c>
      <c r="QL23" s="759">
        <v>18398238</v>
      </c>
      <c r="QM23" s="759">
        <f t="shared" si="14"/>
        <v>23967074</v>
      </c>
      <c r="QN23" s="759">
        <f t="shared" si="14"/>
        <v>4272445</v>
      </c>
      <c r="QO23" s="759">
        <f t="shared" si="14"/>
        <v>3943724</v>
      </c>
      <c r="QP23" s="759">
        <v>26395024</v>
      </c>
      <c r="QQ23" s="759">
        <f t="shared" si="14"/>
        <v>32549193</v>
      </c>
      <c r="QR23" s="759">
        <v>9155168</v>
      </c>
      <c r="QS23" s="759">
        <f t="shared" si="14"/>
        <v>8953842</v>
      </c>
      <c r="QT23" s="759">
        <v>2082817</v>
      </c>
      <c r="QU23" s="759">
        <f t="shared" si="14"/>
        <v>1218895</v>
      </c>
      <c r="QV23" s="759">
        <f t="shared" si="14"/>
        <v>8235264</v>
      </c>
      <c r="QW23" s="759">
        <f t="shared" si="14"/>
        <v>11379523</v>
      </c>
      <c r="QX23" s="759">
        <f t="shared" si="14"/>
        <v>4452742</v>
      </c>
      <c r="QY23" s="759">
        <f t="shared" si="14"/>
        <v>3924962</v>
      </c>
      <c r="QZ23" s="759">
        <f t="shared" si="14"/>
        <v>482360</v>
      </c>
      <c r="RA23" s="759">
        <f t="shared" si="14"/>
        <v>482360</v>
      </c>
      <c r="RB23" s="759">
        <v>147525</v>
      </c>
      <c r="RC23" s="759">
        <f t="shared" si="14"/>
        <v>264750</v>
      </c>
      <c r="RD23" s="759">
        <f t="shared" si="14"/>
        <v>197012</v>
      </c>
      <c r="RE23" s="759">
        <f t="shared" si="14"/>
        <v>214700</v>
      </c>
      <c r="RF23" s="759">
        <v>621783</v>
      </c>
      <c r="RG23" s="759">
        <f t="shared" si="14"/>
        <v>0</v>
      </c>
      <c r="RH23" s="759">
        <f t="shared" si="14"/>
        <v>6789465</v>
      </c>
      <c r="RI23" s="759">
        <f t="shared" si="14"/>
        <v>5971578</v>
      </c>
      <c r="RJ23" s="759">
        <f t="shared" si="14"/>
        <v>219300753</v>
      </c>
      <c r="RK23" s="759">
        <f t="shared" si="14"/>
        <v>160477993</v>
      </c>
      <c r="RL23" s="759">
        <v>1747381</v>
      </c>
      <c r="RM23" s="759">
        <f>SUM(RM21:RM22)</f>
        <v>1755404</v>
      </c>
      <c r="RN23" s="98">
        <v>1006604</v>
      </c>
      <c r="RO23" s="98">
        <v>987408</v>
      </c>
      <c r="RP23" s="98">
        <v>9813081</v>
      </c>
      <c r="RQ23" s="98">
        <v>10399132</v>
      </c>
      <c r="RR23" s="99">
        <v>604610</v>
      </c>
      <c r="RS23" s="98">
        <v>820485</v>
      </c>
      <c r="RT23" s="98">
        <v>2143782</v>
      </c>
      <c r="RU23" s="98">
        <v>2168986</v>
      </c>
      <c r="RV23" s="98">
        <v>1016225</v>
      </c>
      <c r="RW23" s="98">
        <v>831783</v>
      </c>
      <c r="RX23" s="98">
        <v>1035204</v>
      </c>
      <c r="RY23" s="98">
        <v>290890</v>
      </c>
      <c r="RZ23" s="98">
        <v>0</v>
      </c>
      <c r="SA23" s="98">
        <v>0</v>
      </c>
      <c r="SB23" s="98">
        <v>0</v>
      </c>
      <c r="SC23" s="98">
        <v>0</v>
      </c>
      <c r="SD23" s="98">
        <v>1176823</v>
      </c>
      <c r="SE23" s="98">
        <v>921429</v>
      </c>
      <c r="SF23" s="98">
        <v>1155128</v>
      </c>
      <c r="SG23" s="98">
        <v>1479292</v>
      </c>
      <c r="SH23" s="98">
        <v>1934089</v>
      </c>
      <c r="SI23" s="98">
        <v>1922512</v>
      </c>
      <c r="SJ23" s="98">
        <v>0</v>
      </c>
      <c r="SK23" s="98">
        <v>0</v>
      </c>
      <c r="SL23" s="98">
        <v>1024178</v>
      </c>
      <c r="SM23" s="98">
        <v>1410262</v>
      </c>
      <c r="SN23" s="99">
        <v>2375955</v>
      </c>
      <c r="SO23" s="98">
        <v>1462294</v>
      </c>
      <c r="SP23" s="98">
        <v>1474250</v>
      </c>
      <c r="SQ23" s="98">
        <v>1282581</v>
      </c>
      <c r="SR23" s="98">
        <v>2584982</v>
      </c>
      <c r="SS23" s="98">
        <v>2708563</v>
      </c>
      <c r="ST23" s="98">
        <v>2053955</v>
      </c>
      <c r="SU23" s="98"/>
      <c r="SV23" s="98">
        <v>570476</v>
      </c>
      <c r="SW23" s="98">
        <v>1681956</v>
      </c>
      <c r="SX23" s="98">
        <v>0</v>
      </c>
      <c r="SY23" s="98">
        <v>240000</v>
      </c>
      <c r="SZ23" s="98">
        <v>1836837</v>
      </c>
      <c r="TA23" s="98">
        <v>1775309</v>
      </c>
      <c r="TB23" s="98">
        <v>434419</v>
      </c>
      <c r="TC23" s="98">
        <v>0</v>
      </c>
      <c r="TD23" s="98">
        <v>18090700</v>
      </c>
      <c r="TE23" s="98">
        <v>20608791</v>
      </c>
      <c r="TF23" s="98">
        <v>547313</v>
      </c>
      <c r="TG23" s="98">
        <v>265725</v>
      </c>
      <c r="TH23" s="98">
        <v>103700</v>
      </c>
      <c r="TI23" s="98">
        <v>216550</v>
      </c>
      <c r="TJ23" s="98">
        <v>0</v>
      </c>
      <c r="TK23" s="98">
        <v>0</v>
      </c>
      <c r="TL23" s="98">
        <v>3451908</v>
      </c>
      <c r="TM23" s="98">
        <v>2800734</v>
      </c>
      <c r="TN23" s="98">
        <v>0</v>
      </c>
      <c r="TO23" s="98">
        <v>350679</v>
      </c>
      <c r="TP23" s="98">
        <v>2623498</v>
      </c>
      <c r="TQ23" s="98">
        <v>1912079</v>
      </c>
      <c r="TR23" s="98">
        <v>58196174</v>
      </c>
      <c r="TS23" s="98">
        <v>43422182</v>
      </c>
      <c r="TT23" s="98">
        <v>8545077</v>
      </c>
      <c r="TU23" s="98">
        <v>7904128</v>
      </c>
      <c r="TV23" s="98">
        <v>2195342000</v>
      </c>
      <c r="TW23" s="98">
        <v>1262538000</v>
      </c>
      <c r="TX23" s="98">
        <v>3015376</v>
      </c>
      <c r="TY23" s="98">
        <v>3245790</v>
      </c>
      <c r="TZ23" s="98">
        <v>230008451</v>
      </c>
      <c r="UA23" s="98">
        <v>188745790</v>
      </c>
      <c r="UB23" s="98">
        <v>131935</v>
      </c>
      <c r="UC23" s="98">
        <v>0</v>
      </c>
      <c r="UD23" s="98">
        <v>38919000</v>
      </c>
      <c r="UE23" s="98">
        <v>44307000</v>
      </c>
      <c r="UF23" s="98">
        <v>870614</v>
      </c>
      <c r="UG23" s="98">
        <v>1321001</v>
      </c>
      <c r="UH23" s="98">
        <v>1223582</v>
      </c>
      <c r="UI23" s="98">
        <v>2258609</v>
      </c>
      <c r="UJ23" s="98">
        <v>8764571</v>
      </c>
      <c r="UK23" s="98">
        <v>8041128</v>
      </c>
      <c r="UL23" s="98">
        <v>0</v>
      </c>
      <c r="UM23" s="98">
        <v>0</v>
      </c>
      <c r="UN23" s="98">
        <v>368948</v>
      </c>
      <c r="UO23" s="98">
        <v>524712</v>
      </c>
      <c r="UP23" s="98">
        <v>4689666</v>
      </c>
      <c r="UQ23" s="98">
        <v>4051480</v>
      </c>
      <c r="UR23" s="98">
        <v>23967073</v>
      </c>
      <c r="US23" s="98">
        <v>28001202</v>
      </c>
      <c r="UT23" s="98">
        <v>3943724</v>
      </c>
      <c r="UU23" s="98">
        <v>0</v>
      </c>
      <c r="UV23" s="98">
        <v>32549193</v>
      </c>
      <c r="UW23" s="98">
        <v>31316499</v>
      </c>
      <c r="UX23" s="98">
        <v>7851703</v>
      </c>
      <c r="UY23" s="98">
        <v>8057504</v>
      </c>
      <c r="UZ23" s="98">
        <v>1218895</v>
      </c>
      <c r="VA23" s="98">
        <v>497219</v>
      </c>
      <c r="VB23" s="98">
        <v>2228452</v>
      </c>
      <c r="VC23" s="98">
        <v>4950337</v>
      </c>
      <c r="VD23" s="98">
        <v>4427903</v>
      </c>
      <c r="VE23" s="98">
        <v>3887776</v>
      </c>
      <c r="VF23" s="98">
        <v>482360</v>
      </c>
      <c r="VG23" s="98">
        <v>0</v>
      </c>
      <c r="VH23" s="98">
        <v>264750</v>
      </c>
      <c r="VI23" s="98">
        <v>141750</v>
      </c>
      <c r="VJ23" s="98">
        <v>92424</v>
      </c>
      <c r="VK23" s="98">
        <v>72718</v>
      </c>
      <c r="VL23" s="98">
        <v>0</v>
      </c>
      <c r="VM23" s="98">
        <v>366974</v>
      </c>
      <c r="VN23" s="98">
        <v>5971578</v>
      </c>
      <c r="VO23" s="98">
        <v>0</v>
      </c>
      <c r="VP23" s="98">
        <v>160477993</v>
      </c>
      <c r="VQ23" s="98">
        <v>89404543</v>
      </c>
      <c r="VR23" s="98">
        <v>1755404</v>
      </c>
      <c r="VS23" s="98">
        <v>801466</v>
      </c>
      <c r="VT23" s="98">
        <v>987408</v>
      </c>
      <c r="VU23" s="98">
        <v>800447</v>
      </c>
      <c r="VV23" s="98">
        <v>10399132</v>
      </c>
      <c r="VW23" s="98">
        <v>5793831</v>
      </c>
      <c r="VX23" s="99">
        <v>820485</v>
      </c>
      <c r="VY23" s="98">
        <v>734341</v>
      </c>
      <c r="VZ23" s="98">
        <v>2168986</v>
      </c>
      <c r="WA23" s="98">
        <v>2209477</v>
      </c>
      <c r="WB23" s="98">
        <v>831783</v>
      </c>
      <c r="WC23" s="98">
        <v>1067781</v>
      </c>
      <c r="WD23" s="98">
        <v>290890</v>
      </c>
      <c r="WE23" s="98">
        <v>336827</v>
      </c>
      <c r="WF23" s="98">
        <v>0</v>
      </c>
      <c r="WG23" s="98">
        <v>0</v>
      </c>
      <c r="WH23" s="98">
        <v>0</v>
      </c>
      <c r="WI23" s="98">
        <v>0</v>
      </c>
      <c r="WJ23" s="98">
        <v>921429</v>
      </c>
      <c r="WK23" s="98">
        <v>898462</v>
      </c>
      <c r="WL23" s="98">
        <v>1479292</v>
      </c>
      <c r="WM23" s="98">
        <v>1756653</v>
      </c>
      <c r="WN23" s="98">
        <v>1922512</v>
      </c>
      <c r="WO23" s="98">
        <v>2412837</v>
      </c>
      <c r="WP23" s="98">
        <v>0</v>
      </c>
      <c r="WQ23" s="98">
        <v>0</v>
      </c>
      <c r="WR23" s="98">
        <v>1410262</v>
      </c>
      <c r="WS23" s="98">
        <v>2449826</v>
      </c>
      <c r="WT23" s="99">
        <v>1462294</v>
      </c>
      <c r="WU23" s="98">
        <v>874226</v>
      </c>
      <c r="WV23" s="98">
        <v>1282581</v>
      </c>
      <c r="WW23" s="98">
        <v>770673</v>
      </c>
      <c r="WX23" s="98">
        <v>2708563</v>
      </c>
      <c r="WY23" s="98">
        <v>1260852</v>
      </c>
      <c r="WZ23" s="98">
        <v>0</v>
      </c>
      <c r="XA23" s="98">
        <v>321270</v>
      </c>
      <c r="XB23" s="98">
        <v>1681956</v>
      </c>
      <c r="XC23" s="98">
        <v>2059224</v>
      </c>
      <c r="XD23" s="98">
        <v>240000</v>
      </c>
      <c r="XE23" s="98">
        <v>361056</v>
      </c>
      <c r="XF23" s="98">
        <v>1775309</v>
      </c>
      <c r="XG23" s="98">
        <v>1537079</v>
      </c>
      <c r="XH23" s="98">
        <v>193781</v>
      </c>
      <c r="XI23" s="98">
        <v>310882</v>
      </c>
      <c r="XJ23" s="98">
        <v>20608791</v>
      </c>
      <c r="XK23" s="98">
        <v>32015566</v>
      </c>
      <c r="XL23" s="98">
        <v>265725</v>
      </c>
      <c r="XM23" s="98">
        <v>240767</v>
      </c>
      <c r="XN23" s="98">
        <v>0</v>
      </c>
      <c r="XO23" s="98">
        <v>0</v>
      </c>
      <c r="XP23" s="98">
        <v>0</v>
      </c>
      <c r="XQ23" s="98">
        <v>0</v>
      </c>
      <c r="XR23" s="98">
        <v>2800734</v>
      </c>
      <c r="XS23" s="98">
        <v>2867830</v>
      </c>
      <c r="XT23" s="98">
        <v>350679</v>
      </c>
      <c r="XU23" s="98">
        <v>835897</v>
      </c>
      <c r="XV23" s="98">
        <v>1906796</v>
      </c>
      <c r="XW23" s="98">
        <v>1884303</v>
      </c>
      <c r="XX23" s="98">
        <v>43422182</v>
      </c>
      <c r="XY23" s="98">
        <v>42802437</v>
      </c>
      <c r="XZ23" s="98">
        <v>7915527</v>
      </c>
      <c r="YA23" s="98">
        <v>8443579</v>
      </c>
      <c r="YB23" s="98">
        <v>1262538</v>
      </c>
      <c r="YC23" s="98">
        <v>1700406</v>
      </c>
      <c r="YD23" s="98">
        <v>3278653</v>
      </c>
      <c r="YE23" s="98">
        <v>3024488</v>
      </c>
      <c r="YF23" s="98">
        <v>188745790</v>
      </c>
      <c r="YG23" s="98">
        <v>109813058</v>
      </c>
      <c r="YH23" s="98">
        <v>0</v>
      </c>
      <c r="YI23" s="98">
        <v>0</v>
      </c>
      <c r="YJ23" s="98">
        <v>44307000</v>
      </c>
      <c r="YK23" s="98">
        <v>0</v>
      </c>
      <c r="YL23" s="98">
        <v>1321001358</v>
      </c>
      <c r="YM23" s="98">
        <v>1963731667</v>
      </c>
      <c r="YN23" s="98">
        <v>2258609</v>
      </c>
      <c r="YO23" s="98">
        <v>3917668</v>
      </c>
      <c r="YP23" s="98">
        <v>8041128</v>
      </c>
      <c r="YQ23" s="98">
        <v>11468712</v>
      </c>
      <c r="YR23" s="98">
        <v>0</v>
      </c>
      <c r="YS23" s="98">
        <v>0</v>
      </c>
      <c r="YT23" s="98">
        <v>524712</v>
      </c>
      <c r="YU23" s="98">
        <v>2203959</v>
      </c>
      <c r="YV23" s="98">
        <v>4051480</v>
      </c>
      <c r="YW23" s="98">
        <v>3187794</v>
      </c>
      <c r="YX23" s="98">
        <v>28001202</v>
      </c>
      <c r="YY23" s="98">
        <v>38552452</v>
      </c>
      <c r="YZ23" s="98">
        <v>1633765</v>
      </c>
      <c r="ZA23" s="98">
        <v>1155977</v>
      </c>
      <c r="ZB23" s="98">
        <v>31316499</v>
      </c>
      <c r="ZC23" s="98">
        <v>27610212</v>
      </c>
      <c r="ZD23" s="98">
        <v>8057504</v>
      </c>
      <c r="ZE23" s="98">
        <v>6257840</v>
      </c>
      <c r="ZF23" s="98">
        <v>497219</v>
      </c>
      <c r="ZG23" s="98">
        <v>455897</v>
      </c>
      <c r="ZH23" s="98">
        <v>4950337</v>
      </c>
      <c r="ZI23" s="98">
        <v>9014979</v>
      </c>
      <c r="ZJ23" s="98">
        <v>3887776</v>
      </c>
      <c r="ZK23" s="98">
        <v>3721828</v>
      </c>
      <c r="ZL23" s="98">
        <v>0</v>
      </c>
      <c r="ZM23" s="98">
        <v>0</v>
      </c>
      <c r="ZN23" s="98">
        <v>141750</v>
      </c>
      <c r="ZO23" s="98">
        <v>291900</v>
      </c>
      <c r="ZP23" s="98">
        <v>72718</v>
      </c>
      <c r="ZQ23" s="98">
        <v>0</v>
      </c>
      <c r="ZR23" s="98">
        <v>366974</v>
      </c>
      <c r="ZS23" s="98">
        <v>148851</v>
      </c>
      <c r="ZT23" s="98">
        <v>0</v>
      </c>
      <c r="ZU23" s="98">
        <v>0</v>
      </c>
      <c r="ZV23" s="98">
        <v>89404543</v>
      </c>
      <c r="ZW23" s="98">
        <v>45113535</v>
      </c>
      <c r="ZX23" s="98">
        <v>801466</v>
      </c>
      <c r="ZY23" s="98">
        <v>352800</v>
      </c>
      <c r="ZZ23" s="605"/>
      <c r="AAA23" s="605"/>
      <c r="AAB23" s="605"/>
      <c r="AAC23" s="605"/>
      <c r="AAD23" s="605"/>
      <c r="AAE23" s="605"/>
      <c r="AAF23" s="605"/>
      <c r="AAG23" s="605"/>
      <c r="AAH23" s="605"/>
      <c r="AAI23" s="605"/>
      <c r="AAJ23" s="605"/>
      <c r="AAK23" s="605"/>
      <c r="AAL23" s="605"/>
      <c r="AAM23" s="605"/>
      <c r="AAN23" s="605"/>
      <c r="AAO23" s="605"/>
      <c r="AAP23" s="605"/>
      <c r="AAQ23" s="605"/>
      <c r="AAR23" s="605"/>
      <c r="AAS23" s="605"/>
      <c r="AAT23" s="605"/>
      <c r="AAU23" s="605"/>
      <c r="AAV23" s="605"/>
      <c r="AAW23" s="605"/>
      <c r="AAX23" s="605"/>
      <c r="AAY23" s="605"/>
      <c r="AAZ23" s="605"/>
      <c r="ABA23" s="605"/>
      <c r="ABB23" s="605"/>
      <c r="ABC23" s="605"/>
      <c r="ABD23" s="605"/>
      <c r="ABE23" s="605"/>
      <c r="ABF23" s="605"/>
      <c r="ABG23" s="605"/>
      <c r="ABH23" s="605"/>
      <c r="ABI23" s="605"/>
      <c r="ABJ23" s="605"/>
      <c r="ABK23" s="605"/>
      <c r="ABL23" s="605"/>
      <c r="ABM23" s="605"/>
      <c r="ABN23" s="605"/>
      <c r="ABO23" s="605"/>
      <c r="ABP23" s="605"/>
      <c r="ABQ23" s="605"/>
      <c r="ABR23" s="605"/>
      <c r="ABS23" s="605"/>
      <c r="ABT23" s="605"/>
      <c r="ABU23" s="605"/>
      <c r="ABV23" s="605"/>
      <c r="ABW23" s="605"/>
      <c r="ABX23" s="605"/>
      <c r="ABY23" s="605"/>
      <c r="ABZ23" s="605"/>
      <c r="ACA23" s="605"/>
      <c r="ACB23" s="605"/>
      <c r="ACC23" s="605"/>
      <c r="ACD23" s="605"/>
      <c r="ACE23" s="605"/>
      <c r="ACF23" s="605"/>
      <c r="ACG23" s="605"/>
      <c r="ACH23" s="605"/>
      <c r="ACI23" s="605"/>
      <c r="ACJ23" s="605"/>
      <c r="ACK23" s="605"/>
      <c r="ACL23" s="605"/>
      <c r="ACM23" s="605"/>
      <c r="ACN23" s="605"/>
      <c r="ACO23" s="605"/>
      <c r="ACP23" s="605"/>
      <c r="ACQ23" s="605"/>
      <c r="ACR23" s="605"/>
      <c r="ACS23" s="605"/>
      <c r="ACT23" s="605"/>
      <c r="ACU23" s="605"/>
      <c r="ACV23" s="605"/>
      <c r="ACW23" s="605"/>
      <c r="ACX23" s="605"/>
      <c r="ACY23" s="605"/>
      <c r="ACZ23" s="605"/>
      <c r="ADA23" s="605"/>
      <c r="ADB23" s="605"/>
      <c r="ADC23" s="605"/>
      <c r="ADD23" s="605"/>
      <c r="ADE23" s="605"/>
      <c r="ADF23" s="605"/>
      <c r="ADG23" s="605"/>
      <c r="ADH23" s="605"/>
      <c r="ADI23" s="605"/>
      <c r="ADJ23" s="605"/>
      <c r="ADK23" s="605"/>
      <c r="ADL23" s="605"/>
      <c r="ADM23" s="605"/>
      <c r="ADN23" s="605"/>
      <c r="ADO23" s="605"/>
      <c r="ADP23" s="605"/>
      <c r="ADQ23" s="605"/>
      <c r="ADR23" s="605"/>
      <c r="ADS23" s="605"/>
      <c r="ADT23" s="605"/>
      <c r="ADU23" s="605"/>
      <c r="ADV23" s="605"/>
      <c r="ADW23" s="605"/>
      <c r="ADX23" s="605"/>
      <c r="ADY23" s="605"/>
      <c r="ADZ23" s="605"/>
      <c r="AEA23" s="605"/>
      <c r="AEB23" s="605"/>
      <c r="AEC23" s="605"/>
      <c r="AED23" s="605"/>
      <c r="AEE23" s="605"/>
      <c r="AEF23" s="605"/>
      <c r="AEG23" s="605"/>
      <c r="AEH23" s="605"/>
      <c r="AEI23" s="605"/>
      <c r="AEJ23" s="605"/>
      <c r="AEK23" s="605"/>
      <c r="AEL23" s="605"/>
      <c r="AEM23" s="605"/>
      <c r="AEN23" s="605"/>
      <c r="AEO23" s="605"/>
      <c r="AEP23" s="605"/>
      <c r="AEQ23" s="605"/>
      <c r="AER23" s="605"/>
      <c r="AES23" s="605"/>
      <c r="AET23" s="605"/>
      <c r="AEU23" s="605"/>
      <c r="AEV23" s="605"/>
      <c r="AEW23" s="605"/>
      <c r="AEX23" s="605"/>
      <c r="AEY23" s="605"/>
      <c r="AEZ23" s="605"/>
      <c r="AFA23" s="605"/>
      <c r="AFB23" s="605"/>
      <c r="AFC23" s="605"/>
      <c r="AFD23" s="605"/>
      <c r="AFE23" s="605"/>
      <c r="AFF23" s="605"/>
      <c r="AFG23" s="605"/>
      <c r="AFH23" s="605"/>
      <c r="AFI23" s="605"/>
      <c r="AFJ23" s="605"/>
      <c r="AFK23" s="605"/>
      <c r="AFL23" s="605"/>
      <c r="AFM23" s="605"/>
      <c r="AFN23" s="605"/>
      <c r="AFO23" s="605"/>
      <c r="AFP23" s="605"/>
      <c r="AFQ23" s="605"/>
      <c r="AFR23" s="605"/>
      <c r="AFS23" s="605"/>
      <c r="AFT23" s="605"/>
      <c r="AFU23" s="605"/>
      <c r="AFV23" s="605"/>
      <c r="AFW23" s="605"/>
      <c r="AFX23" s="605"/>
      <c r="AFY23" s="605"/>
      <c r="AFZ23" s="605"/>
      <c r="AGA23" s="605"/>
      <c r="AGB23" s="605"/>
      <c r="AGC23" s="605"/>
      <c r="AGD23" s="605"/>
      <c r="AGE23" s="605"/>
      <c r="AGF23" s="605"/>
      <c r="AGG23" s="605"/>
      <c r="AGH23" s="605"/>
      <c r="AGI23" s="605"/>
      <c r="AGJ23" s="605"/>
      <c r="AGK23" s="605"/>
      <c r="AGL23" s="605"/>
      <c r="AGM23" s="605"/>
      <c r="AGN23" s="605"/>
      <c r="AGO23" s="605"/>
      <c r="AGP23" s="605"/>
      <c r="AGQ23" s="605"/>
      <c r="AGR23" s="605"/>
      <c r="AGS23" s="605"/>
      <c r="AGT23" s="605"/>
      <c r="AGU23" s="605"/>
      <c r="AGV23" s="605"/>
      <c r="AGW23" s="605"/>
      <c r="AGX23" s="605"/>
      <c r="AGY23" s="605"/>
      <c r="AGZ23" s="605"/>
      <c r="AHA23" s="605"/>
      <c r="AHB23" s="605"/>
      <c r="AHC23" s="605"/>
      <c r="AHD23" s="605"/>
      <c r="AHE23" s="605"/>
      <c r="AHF23" s="605"/>
      <c r="AHG23" s="605"/>
      <c r="AHH23" s="605"/>
      <c r="AHI23" s="605"/>
      <c r="AHJ23" s="605"/>
      <c r="AHK23" s="605"/>
      <c r="AHL23" s="605"/>
      <c r="AHM23" s="605"/>
      <c r="AHN23" s="605"/>
      <c r="AHO23" s="605"/>
      <c r="AHP23" s="605"/>
      <c r="AHQ23" s="605"/>
      <c r="AHR23" s="605"/>
      <c r="AHS23" s="605"/>
      <c r="AHT23" s="605"/>
      <c r="AHU23" s="605"/>
      <c r="AHV23" s="605"/>
      <c r="AHW23" s="605"/>
      <c r="AHX23" s="605"/>
      <c r="AHY23" s="605"/>
      <c r="AHZ23" s="605"/>
      <c r="AIA23" s="605"/>
      <c r="AIB23" s="605"/>
      <c r="AIC23" s="605"/>
      <c r="AID23" s="605"/>
      <c r="AIE23" s="605"/>
      <c r="AIF23" s="605"/>
      <c r="AIG23" s="605"/>
      <c r="AIH23" s="605"/>
      <c r="AII23" s="605"/>
      <c r="AIJ23" s="605"/>
      <c r="AIK23" s="605"/>
      <c r="AIL23" s="605"/>
      <c r="AIM23" s="605"/>
      <c r="AIN23" s="605"/>
      <c r="AIO23" s="605"/>
      <c r="AIP23" s="605"/>
      <c r="AIQ23" s="605"/>
      <c r="AIR23" s="605"/>
      <c r="AIS23" s="605"/>
      <c r="AIT23" s="605"/>
      <c r="AIU23" s="605"/>
      <c r="AIV23" s="605"/>
      <c r="AIW23" s="605"/>
      <c r="AIX23" s="605"/>
      <c r="AIY23" s="605"/>
      <c r="AIZ23" s="605"/>
      <c r="AJA23" s="605"/>
      <c r="AJB23" s="605"/>
      <c r="AJC23" s="605"/>
      <c r="AJD23" s="605"/>
      <c r="AJE23" s="605"/>
      <c r="AJF23" s="605"/>
      <c r="AJG23" s="605"/>
      <c r="AJH23" s="605"/>
      <c r="AJI23" s="605"/>
      <c r="AJJ23" s="605"/>
      <c r="AJK23" s="605"/>
      <c r="AJL23" s="605"/>
      <c r="AJM23" s="605"/>
      <c r="AJN23" s="605"/>
      <c r="AJO23" s="605"/>
    </row>
    <row r="24" spans="1:951" x14ac:dyDescent="0.25">
      <c r="A24" s="90" t="s">
        <v>28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6"/>
      <c r="P24" s="96"/>
      <c r="Q24" s="99"/>
      <c r="R24" s="99"/>
      <c r="S24" s="99"/>
      <c r="T24" s="96"/>
      <c r="U24" s="96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6"/>
      <c r="AJ24" s="96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6"/>
      <c r="DB24" s="96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102"/>
      <c r="DN24" s="99"/>
      <c r="DO24" s="99"/>
      <c r="DP24" s="99"/>
      <c r="DQ24" s="99"/>
      <c r="DR24" s="99"/>
      <c r="DS24" s="99"/>
      <c r="DT24" s="99"/>
      <c r="DU24" s="99"/>
      <c r="DV24" s="99"/>
      <c r="DW24" s="99"/>
      <c r="DX24" s="99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6"/>
      <c r="EY24" s="96"/>
      <c r="EZ24" s="96"/>
      <c r="FA24" s="99"/>
      <c r="FB24" s="99"/>
      <c r="FC24" s="99"/>
      <c r="FD24" s="96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  <c r="HO24" s="99"/>
      <c r="HP24" s="99"/>
      <c r="HQ24" s="99"/>
      <c r="HR24" s="99"/>
      <c r="HS24" s="99"/>
      <c r="HT24" s="99"/>
      <c r="HU24" s="99"/>
      <c r="HV24" s="99"/>
      <c r="HW24" s="99"/>
      <c r="HX24" s="99"/>
      <c r="HY24" s="99"/>
      <c r="HZ24" s="99"/>
      <c r="IA24" s="99"/>
      <c r="IB24" s="99"/>
      <c r="IC24" s="99"/>
      <c r="ID24" s="99"/>
      <c r="IE24" s="99"/>
      <c r="IF24" s="99"/>
      <c r="IG24" s="99"/>
      <c r="IH24" s="99"/>
      <c r="II24" s="99"/>
      <c r="IJ24" s="99"/>
      <c r="IK24" s="99"/>
      <c r="IL24" s="99"/>
      <c r="IM24" s="99"/>
      <c r="IN24" s="99"/>
      <c r="IO24" s="99"/>
      <c r="IP24" s="96"/>
      <c r="IQ24" s="99"/>
      <c r="IR24" s="99"/>
      <c r="IS24" s="99"/>
      <c r="IT24" s="99"/>
      <c r="IU24" s="99"/>
      <c r="IV24" s="99"/>
      <c r="IW24" s="99"/>
      <c r="IX24" s="99"/>
      <c r="IY24" s="99"/>
      <c r="IZ24" s="99"/>
      <c r="JA24" s="99"/>
      <c r="JB24" s="99"/>
      <c r="JC24" s="99"/>
      <c r="JD24" s="96"/>
      <c r="JE24" s="96"/>
      <c r="JF24" s="96"/>
      <c r="JG24" s="99"/>
      <c r="JH24" s="99"/>
      <c r="JI24" s="99"/>
      <c r="JJ24" s="96"/>
      <c r="JK24" s="99"/>
      <c r="JL24" s="99"/>
      <c r="JM24" s="99"/>
      <c r="JN24" s="99"/>
      <c r="JO24" s="99"/>
      <c r="JP24" s="99"/>
      <c r="JQ24" s="99"/>
      <c r="JR24" s="99"/>
      <c r="JS24" s="99"/>
      <c r="JT24" s="99"/>
      <c r="JU24" s="99"/>
      <c r="JV24" s="99"/>
      <c r="JW24" s="99"/>
      <c r="JX24" s="99"/>
      <c r="JY24" s="99"/>
      <c r="JZ24" s="99"/>
      <c r="KA24" s="99"/>
      <c r="KB24" s="99"/>
      <c r="KC24" s="99"/>
      <c r="KD24" s="99"/>
      <c r="KE24" s="99"/>
      <c r="KF24" s="99"/>
      <c r="KG24" s="99"/>
      <c r="KH24" s="99"/>
      <c r="KI24" s="99"/>
      <c r="KJ24" s="99"/>
      <c r="KK24" s="99"/>
      <c r="KL24" s="99"/>
      <c r="KM24" s="99"/>
      <c r="KN24" s="99"/>
      <c r="KO24" s="99"/>
      <c r="KP24" s="99"/>
      <c r="KQ24" s="99"/>
      <c r="KR24" s="99"/>
      <c r="KS24" s="99"/>
      <c r="KT24" s="99"/>
      <c r="KU24" s="99"/>
      <c r="KV24" s="99"/>
      <c r="KW24" s="99"/>
      <c r="KX24" s="99"/>
      <c r="KY24" s="99"/>
      <c r="KZ24" s="99"/>
      <c r="LA24" s="99"/>
      <c r="LB24" s="99"/>
      <c r="LC24" s="99"/>
      <c r="LD24" s="99"/>
      <c r="LE24" s="99"/>
      <c r="LF24" s="99"/>
      <c r="LG24" s="99"/>
      <c r="LH24" s="99"/>
      <c r="LI24" s="99"/>
      <c r="LJ24" s="99"/>
      <c r="LK24" s="99"/>
      <c r="LL24" s="99"/>
      <c r="LM24" s="99"/>
      <c r="LN24" s="99"/>
      <c r="LO24" s="99"/>
      <c r="LP24" s="99"/>
      <c r="LQ24" s="99"/>
      <c r="LR24" s="99"/>
      <c r="LS24" s="99"/>
      <c r="LT24" s="99"/>
      <c r="LU24" s="99"/>
      <c r="LV24" s="99"/>
      <c r="LW24" s="99"/>
      <c r="LX24" s="99"/>
      <c r="LY24" s="99"/>
      <c r="LZ24" s="99"/>
      <c r="MA24" s="99"/>
      <c r="MB24" s="99"/>
      <c r="MC24" s="99"/>
      <c r="MD24" s="99"/>
      <c r="ME24" s="99"/>
      <c r="MF24" s="99"/>
      <c r="MG24" s="99"/>
      <c r="MH24" s="99"/>
      <c r="MI24" s="99"/>
      <c r="MJ24" s="99"/>
      <c r="MK24" s="99"/>
      <c r="ML24" s="99"/>
      <c r="MM24" s="99"/>
      <c r="MN24" s="99"/>
      <c r="MO24" s="99"/>
      <c r="MP24" s="99"/>
      <c r="MQ24" s="99"/>
      <c r="MR24" s="99"/>
      <c r="MS24" s="99"/>
      <c r="MT24" s="99"/>
      <c r="MU24" s="99"/>
      <c r="MV24" s="99"/>
      <c r="MW24" s="99"/>
      <c r="MX24" s="99"/>
      <c r="MY24" s="99"/>
      <c r="MZ24" s="99"/>
      <c r="NA24" s="99"/>
      <c r="NB24" s="99"/>
      <c r="NC24" s="99"/>
      <c r="ND24" s="99"/>
      <c r="NE24" s="99"/>
      <c r="NF24" s="99"/>
      <c r="NG24" s="99"/>
      <c r="NH24" s="393"/>
      <c r="NI24" s="393"/>
      <c r="NJ24" s="391"/>
      <c r="NK24" s="391"/>
      <c r="NL24" s="391"/>
      <c r="NM24" s="393"/>
      <c r="NN24" s="393"/>
      <c r="NO24" s="393"/>
      <c r="NP24" s="391"/>
      <c r="NQ24" s="393"/>
      <c r="NR24" s="393"/>
      <c r="NS24" s="393"/>
      <c r="NT24" s="393"/>
      <c r="NU24" s="393"/>
      <c r="NV24" s="393"/>
      <c r="NW24" s="393"/>
      <c r="NX24" s="393"/>
      <c r="NY24" s="393"/>
      <c r="NZ24" s="393"/>
      <c r="OA24" s="393"/>
      <c r="OB24" s="393"/>
      <c r="OC24" s="393"/>
      <c r="OD24" s="393"/>
      <c r="OE24" s="393"/>
      <c r="OF24" s="393"/>
      <c r="OG24" s="393"/>
      <c r="OH24" s="393"/>
      <c r="OI24" s="393"/>
      <c r="OJ24" s="393"/>
      <c r="OK24" s="393"/>
      <c r="OL24" s="393"/>
      <c r="OM24" s="393"/>
      <c r="ON24" s="393"/>
      <c r="OO24" s="393"/>
      <c r="OP24" s="393"/>
      <c r="OQ24" s="393"/>
      <c r="OR24" s="393"/>
      <c r="OS24" s="393"/>
      <c r="OT24" s="393"/>
      <c r="OU24" s="393"/>
      <c r="OV24" s="393"/>
      <c r="OW24" s="393"/>
      <c r="OX24" s="393"/>
      <c r="OY24" s="393"/>
      <c r="OZ24" s="393"/>
      <c r="PA24" s="393"/>
      <c r="PB24" s="393"/>
      <c r="PC24" s="393"/>
      <c r="PD24" s="393"/>
      <c r="PE24" s="393"/>
      <c r="PF24" s="393"/>
      <c r="PG24" s="393"/>
      <c r="PH24" s="393"/>
      <c r="PI24" s="393"/>
      <c r="PJ24" s="393"/>
      <c r="PK24" s="393"/>
      <c r="PL24" s="393"/>
      <c r="PM24" s="393"/>
      <c r="PN24" s="393"/>
      <c r="PO24" s="393"/>
      <c r="PP24" s="393"/>
      <c r="PQ24" s="393"/>
      <c r="PR24" s="393"/>
      <c r="PS24" s="393"/>
      <c r="PT24" s="393"/>
      <c r="PU24" s="393"/>
      <c r="PV24" s="393"/>
      <c r="PW24" s="393"/>
      <c r="PX24" s="393"/>
      <c r="PY24" s="393"/>
      <c r="PZ24" s="393"/>
      <c r="QA24" s="393"/>
      <c r="QB24" s="393"/>
      <c r="QC24" s="393"/>
      <c r="QD24" s="393"/>
      <c r="QE24" s="393"/>
      <c r="QF24" s="393"/>
      <c r="QG24" s="393"/>
      <c r="QH24" s="393"/>
      <c r="QI24" s="393"/>
      <c r="QJ24" s="393"/>
      <c r="QK24" s="393"/>
      <c r="QL24" s="393"/>
      <c r="QM24" s="393"/>
      <c r="QN24" s="393"/>
      <c r="QO24" s="393"/>
      <c r="QP24" s="393"/>
      <c r="QQ24" s="393"/>
      <c r="QR24" s="393"/>
      <c r="QS24" s="393"/>
      <c r="QT24" s="393"/>
      <c r="QU24" s="393"/>
      <c r="QV24" s="393"/>
      <c r="QW24" s="393"/>
      <c r="QX24" s="393"/>
      <c r="QY24" s="393"/>
      <c r="QZ24" s="393"/>
      <c r="RA24" s="393"/>
      <c r="RB24" s="393"/>
      <c r="RC24" s="393"/>
      <c r="RD24" s="393"/>
      <c r="RE24" s="393"/>
      <c r="RF24" s="393"/>
      <c r="RG24" s="393"/>
      <c r="RH24" s="393"/>
      <c r="RI24" s="393"/>
      <c r="RJ24" s="393"/>
      <c r="RK24" s="393"/>
      <c r="RL24" s="393"/>
      <c r="RM24" s="393"/>
      <c r="RN24" s="99"/>
      <c r="RO24" s="99"/>
      <c r="RP24" s="99"/>
      <c r="RQ24" s="99"/>
      <c r="RR24" s="99"/>
      <c r="RS24" s="99"/>
      <c r="RT24" s="99"/>
      <c r="RU24" s="99"/>
      <c r="RV24" s="99"/>
      <c r="RW24" s="99"/>
      <c r="RX24" s="99"/>
      <c r="RY24" s="99"/>
      <c r="RZ24" s="99"/>
      <c r="SA24" s="99"/>
      <c r="SB24" s="99"/>
      <c r="SC24" s="99"/>
      <c r="SD24" s="99"/>
      <c r="SE24" s="99"/>
      <c r="SF24" s="99"/>
      <c r="SG24" s="99"/>
      <c r="SH24" s="99"/>
      <c r="SI24" s="99"/>
      <c r="SJ24" s="99"/>
      <c r="SK24" s="99"/>
      <c r="SL24" s="99"/>
      <c r="SM24" s="99"/>
      <c r="SN24" s="99"/>
      <c r="SO24" s="99"/>
      <c r="SP24" s="99"/>
      <c r="SQ24" s="99"/>
      <c r="SR24" s="99"/>
      <c r="SS24" s="99"/>
      <c r="ST24" s="99"/>
      <c r="SU24" s="99"/>
      <c r="SV24" s="99"/>
      <c r="SW24" s="99"/>
      <c r="SX24" s="99"/>
      <c r="SY24" s="99"/>
      <c r="SZ24" s="99"/>
      <c r="TA24" s="99"/>
      <c r="TB24" s="99"/>
      <c r="TC24" s="99"/>
      <c r="TD24" s="99"/>
      <c r="TE24" s="99"/>
      <c r="TF24" s="99"/>
      <c r="TG24" s="99"/>
      <c r="TH24" s="99"/>
      <c r="TI24" s="99"/>
      <c r="TJ24" s="99"/>
      <c r="TK24" s="99"/>
      <c r="TL24" s="99"/>
      <c r="TM24" s="99"/>
      <c r="TN24" s="99"/>
      <c r="TO24" s="99"/>
      <c r="TP24" s="99"/>
      <c r="TQ24" s="99"/>
      <c r="TR24" s="99"/>
      <c r="TS24" s="99"/>
      <c r="TT24" s="99"/>
      <c r="TU24" s="99"/>
      <c r="TV24" s="99"/>
      <c r="TW24" s="99"/>
      <c r="TX24" s="99"/>
      <c r="TY24" s="99"/>
      <c r="TZ24" s="99"/>
      <c r="UA24" s="99"/>
      <c r="UB24" s="99"/>
      <c r="UC24" s="99"/>
      <c r="UD24" s="99"/>
      <c r="UE24" s="99"/>
      <c r="UF24" s="99"/>
      <c r="UG24" s="99"/>
      <c r="UH24" s="99"/>
      <c r="UI24" s="99"/>
      <c r="UJ24" s="99"/>
      <c r="UK24" s="99"/>
      <c r="UL24" s="99"/>
      <c r="UM24" s="99"/>
      <c r="UN24" s="99"/>
      <c r="UO24" s="99"/>
      <c r="UP24" s="99"/>
      <c r="UQ24" s="99"/>
      <c r="UR24" s="99"/>
      <c r="US24" s="99"/>
      <c r="UT24" s="99"/>
      <c r="UU24" s="99"/>
      <c r="UV24" s="99"/>
      <c r="UW24" s="99"/>
      <c r="UX24" s="99"/>
      <c r="UY24" s="99"/>
      <c r="UZ24" s="99"/>
      <c r="VA24" s="99"/>
      <c r="VB24" s="99"/>
      <c r="VC24" s="99"/>
      <c r="VD24" s="99"/>
      <c r="VE24" s="99"/>
      <c r="VF24" s="99"/>
      <c r="VG24" s="99"/>
      <c r="VH24" s="99"/>
      <c r="VI24" s="99"/>
      <c r="VJ24" s="99"/>
      <c r="VK24" s="99"/>
      <c r="VL24" s="99"/>
      <c r="VM24" s="99"/>
      <c r="VN24" s="99"/>
      <c r="VO24" s="99"/>
      <c r="VP24" s="99"/>
      <c r="VQ24" s="99"/>
      <c r="VR24" s="99"/>
      <c r="VS24" s="99"/>
      <c r="VT24" s="99"/>
      <c r="VU24" s="99"/>
      <c r="VV24" s="99"/>
      <c r="VW24" s="99"/>
      <c r="VX24" s="99"/>
      <c r="VY24" s="99"/>
      <c r="VZ24" s="99"/>
      <c r="WA24" s="99"/>
      <c r="WB24" s="99"/>
      <c r="WC24" s="99"/>
      <c r="WD24" s="99"/>
      <c r="WE24" s="99"/>
      <c r="WF24" s="99"/>
      <c r="WG24" s="99"/>
      <c r="WH24" s="99"/>
      <c r="WI24" s="99"/>
      <c r="WJ24" s="99"/>
      <c r="WK24" s="99"/>
      <c r="WL24" s="99"/>
      <c r="WM24" s="99"/>
      <c r="WN24" s="99"/>
      <c r="WO24" s="99"/>
      <c r="WP24" s="99"/>
      <c r="WQ24" s="99"/>
      <c r="WR24" s="99"/>
      <c r="WS24" s="99"/>
      <c r="WT24" s="99"/>
      <c r="WU24" s="99"/>
      <c r="WV24" s="99"/>
      <c r="WW24" s="99"/>
      <c r="WX24" s="99"/>
      <c r="WY24" s="99"/>
      <c r="WZ24" s="99"/>
      <c r="XA24" s="99"/>
      <c r="XB24" s="99"/>
      <c r="XC24" s="99"/>
      <c r="XD24" s="99"/>
      <c r="XE24" s="99"/>
      <c r="XF24" s="99"/>
      <c r="XG24" s="99"/>
      <c r="XH24" s="99"/>
      <c r="XI24" s="99"/>
      <c r="XJ24" s="99"/>
      <c r="XK24" s="99"/>
      <c r="XL24" s="99"/>
      <c r="XM24" s="99"/>
      <c r="XN24" s="99"/>
      <c r="XO24" s="99"/>
      <c r="XP24" s="99"/>
      <c r="XQ24" s="99"/>
      <c r="XR24" s="99"/>
      <c r="XS24" s="99"/>
      <c r="XT24" s="99"/>
      <c r="XU24" s="99"/>
      <c r="XV24" s="99"/>
      <c r="XW24" s="99"/>
      <c r="XX24" s="99"/>
      <c r="XY24" s="99"/>
      <c r="XZ24" s="99"/>
      <c r="YA24" s="99"/>
      <c r="YB24" s="99"/>
      <c r="YC24" s="99"/>
      <c r="YD24" s="99"/>
      <c r="YE24" s="99"/>
      <c r="YF24" s="99"/>
      <c r="YG24" s="99"/>
      <c r="YH24" s="99"/>
      <c r="YI24" s="99"/>
      <c r="YJ24" s="99"/>
      <c r="YK24" s="99"/>
      <c r="YL24" s="99"/>
      <c r="YM24" s="99"/>
      <c r="YN24" s="99"/>
      <c r="YO24" s="99"/>
      <c r="YP24" s="99"/>
      <c r="YQ24" s="99"/>
      <c r="YR24" s="99"/>
      <c r="YS24" s="99"/>
      <c r="YT24" s="99"/>
      <c r="YU24" s="99"/>
      <c r="YV24" s="99"/>
      <c r="YW24" s="99"/>
      <c r="YX24" s="99"/>
      <c r="YY24" s="99"/>
      <c r="YZ24" s="99"/>
      <c r="ZA24" s="99"/>
      <c r="ZB24" s="99"/>
      <c r="ZC24" s="99"/>
      <c r="ZD24" s="99"/>
      <c r="ZE24" s="99"/>
      <c r="ZF24" s="99"/>
      <c r="ZG24" s="99"/>
      <c r="ZH24" s="99"/>
      <c r="ZI24" s="99"/>
      <c r="ZJ24" s="99"/>
      <c r="ZK24" s="99"/>
      <c r="ZL24" s="99"/>
      <c r="ZM24" s="99"/>
      <c r="ZN24" s="99"/>
      <c r="ZO24" s="99"/>
      <c r="ZP24" s="99"/>
      <c r="ZQ24" s="99"/>
      <c r="ZR24" s="99"/>
      <c r="ZS24" s="99"/>
      <c r="ZT24" s="99"/>
      <c r="ZU24" s="99"/>
      <c r="ZV24" s="99"/>
      <c r="ZW24" s="99"/>
      <c r="ZX24" s="99"/>
      <c r="ZY24" s="99"/>
      <c r="ZZ24" s="605"/>
      <c r="AAA24" s="605"/>
      <c r="AAB24" s="605"/>
      <c r="AAC24" s="605"/>
      <c r="AAD24" s="605"/>
      <c r="AAE24" s="605"/>
      <c r="AAF24" s="605"/>
      <c r="AAG24" s="605"/>
      <c r="AAH24" s="605"/>
      <c r="AAI24" s="605"/>
      <c r="AAJ24" s="605"/>
      <c r="AAK24" s="605"/>
      <c r="AAL24" s="605"/>
      <c r="AAM24" s="605"/>
      <c r="AAN24" s="605"/>
      <c r="AAO24" s="605"/>
      <c r="AAP24" s="605"/>
      <c r="AAQ24" s="605"/>
      <c r="AAR24" s="605"/>
      <c r="AAS24" s="605"/>
      <c r="AAT24" s="605"/>
      <c r="AAU24" s="605"/>
      <c r="AAV24" s="605"/>
      <c r="AAW24" s="605"/>
      <c r="AAX24" s="605"/>
      <c r="AAY24" s="605"/>
      <c r="AAZ24" s="605"/>
      <c r="ABA24" s="605"/>
      <c r="ABB24" s="605"/>
      <c r="ABC24" s="605"/>
      <c r="ABD24" s="605"/>
      <c r="ABE24" s="605"/>
      <c r="ABF24" s="605"/>
      <c r="ABG24" s="605"/>
      <c r="ABH24" s="605"/>
      <c r="ABI24" s="605"/>
      <c r="ABJ24" s="605"/>
      <c r="ABK24" s="605"/>
      <c r="ABL24" s="605"/>
      <c r="ABM24" s="605"/>
      <c r="ABN24" s="605"/>
      <c r="ABO24" s="605"/>
      <c r="ABP24" s="605"/>
      <c r="ABQ24" s="605"/>
      <c r="ABR24" s="605"/>
      <c r="ABS24" s="605"/>
      <c r="ABT24" s="605"/>
      <c r="ABU24" s="605"/>
      <c r="ABV24" s="605"/>
      <c r="ABW24" s="605"/>
      <c r="ABX24" s="605"/>
      <c r="ABY24" s="605"/>
      <c r="ABZ24" s="605"/>
      <c r="ACA24" s="605"/>
      <c r="ACB24" s="605"/>
      <c r="ACC24" s="605"/>
      <c r="ACD24" s="605"/>
      <c r="ACE24" s="605"/>
      <c r="ACF24" s="605"/>
      <c r="ACG24" s="605"/>
      <c r="ACH24" s="605"/>
      <c r="ACI24" s="605"/>
      <c r="ACJ24" s="605"/>
      <c r="ACK24" s="605"/>
      <c r="ACL24" s="605"/>
      <c r="ACM24" s="605"/>
      <c r="ACN24" s="605"/>
      <c r="ACO24" s="605"/>
      <c r="ACP24" s="605"/>
      <c r="ACQ24" s="605"/>
      <c r="ACR24" s="605"/>
      <c r="ACS24" s="605"/>
      <c r="ACT24" s="605"/>
      <c r="ACU24" s="605"/>
      <c r="ACV24" s="605"/>
      <c r="ACW24" s="605"/>
      <c r="ACX24" s="605"/>
      <c r="ACY24" s="605"/>
      <c r="ACZ24" s="605"/>
      <c r="ADA24" s="605"/>
      <c r="ADB24" s="605"/>
      <c r="ADC24" s="605"/>
      <c r="ADD24" s="605"/>
      <c r="ADE24" s="605"/>
      <c r="ADF24" s="605"/>
      <c r="ADG24" s="605"/>
      <c r="ADH24" s="605"/>
      <c r="ADI24" s="605"/>
      <c r="ADJ24" s="605"/>
      <c r="ADK24" s="605"/>
      <c r="ADL24" s="605"/>
      <c r="ADM24" s="605"/>
      <c r="ADN24" s="605"/>
      <c r="ADO24" s="605"/>
      <c r="ADP24" s="605"/>
      <c r="ADQ24" s="605"/>
      <c r="ADR24" s="605"/>
      <c r="ADS24" s="605"/>
      <c r="ADT24" s="605"/>
      <c r="ADU24" s="605"/>
      <c r="ADV24" s="605"/>
      <c r="ADW24" s="605"/>
      <c r="ADX24" s="605"/>
      <c r="ADY24" s="605"/>
      <c r="ADZ24" s="605"/>
      <c r="AEA24" s="605"/>
      <c r="AEB24" s="605"/>
      <c r="AEC24" s="605"/>
      <c r="AED24" s="605"/>
      <c r="AEE24" s="605"/>
      <c r="AEF24" s="605"/>
      <c r="AEG24" s="605"/>
      <c r="AEH24" s="605"/>
      <c r="AEI24" s="605"/>
      <c r="AEJ24" s="605"/>
      <c r="AEK24" s="605"/>
      <c r="AEL24" s="605"/>
      <c r="AEM24" s="605"/>
      <c r="AEN24" s="605"/>
      <c r="AEO24" s="605"/>
      <c r="AEP24" s="605"/>
      <c r="AEQ24" s="605"/>
      <c r="AER24" s="605"/>
      <c r="AES24" s="605"/>
      <c r="AET24" s="605"/>
      <c r="AEU24" s="605"/>
      <c r="AEV24" s="605"/>
      <c r="AEW24" s="605"/>
      <c r="AEX24" s="605"/>
      <c r="AEY24" s="605"/>
      <c r="AEZ24" s="605"/>
      <c r="AFA24" s="605"/>
      <c r="AFB24" s="605"/>
      <c r="AFC24" s="605"/>
      <c r="AFD24" s="605"/>
      <c r="AFE24" s="605"/>
      <c r="AFF24" s="605"/>
      <c r="AFG24" s="605"/>
      <c r="AFH24" s="605"/>
      <c r="AFI24" s="605"/>
      <c r="AFJ24" s="605"/>
      <c r="AFK24" s="605"/>
      <c r="AFL24" s="605"/>
      <c r="AFM24" s="605"/>
      <c r="AFN24" s="605"/>
      <c r="AFO24" s="605"/>
      <c r="AFP24" s="605"/>
      <c r="AFQ24" s="605"/>
      <c r="AFR24" s="605"/>
      <c r="AFS24" s="605"/>
      <c r="AFT24" s="605"/>
      <c r="AFU24" s="605"/>
      <c r="AFV24" s="605"/>
      <c r="AFW24" s="605"/>
      <c r="AFX24" s="605"/>
      <c r="AFY24" s="605"/>
      <c r="AFZ24" s="605"/>
      <c r="AGA24" s="605"/>
      <c r="AGB24" s="605"/>
      <c r="AGC24" s="605"/>
      <c r="AGD24" s="605"/>
      <c r="AGE24" s="605"/>
      <c r="AGF24" s="605"/>
      <c r="AGG24" s="605"/>
      <c r="AGH24" s="605"/>
      <c r="AGI24" s="605"/>
      <c r="AGJ24" s="605"/>
      <c r="AGK24" s="605"/>
      <c r="AGL24" s="605"/>
      <c r="AGM24" s="605"/>
      <c r="AGN24" s="605"/>
      <c r="AGO24" s="605"/>
      <c r="AGP24" s="605"/>
      <c r="AGQ24" s="605"/>
      <c r="AGR24" s="605"/>
      <c r="AGS24" s="605"/>
      <c r="AGT24" s="605"/>
      <c r="AGU24" s="605"/>
      <c r="AGV24" s="605"/>
      <c r="AGW24" s="605"/>
      <c r="AGX24" s="605"/>
      <c r="AGY24" s="605"/>
      <c r="AGZ24" s="605"/>
      <c r="AHA24" s="605"/>
      <c r="AHB24" s="605"/>
      <c r="AHC24" s="605"/>
      <c r="AHD24" s="605"/>
      <c r="AHE24" s="605"/>
      <c r="AHF24" s="605"/>
      <c r="AHG24" s="605"/>
      <c r="AHH24" s="605"/>
      <c r="AHI24" s="605"/>
      <c r="AHJ24" s="605"/>
      <c r="AHK24" s="605"/>
      <c r="AHL24" s="605"/>
      <c r="AHM24" s="605"/>
      <c r="AHN24" s="605"/>
      <c r="AHO24" s="605"/>
      <c r="AHP24" s="605"/>
      <c r="AHQ24" s="605"/>
      <c r="AHR24" s="605"/>
      <c r="AHS24" s="605"/>
      <c r="AHT24" s="605"/>
      <c r="AHU24" s="605"/>
      <c r="AHV24" s="605"/>
      <c r="AHW24" s="605"/>
      <c r="AHX24" s="605"/>
      <c r="AHY24" s="605"/>
      <c r="AHZ24" s="605"/>
      <c r="AIA24" s="605"/>
      <c r="AIB24" s="605"/>
      <c r="AIC24" s="605"/>
      <c r="AID24" s="605"/>
      <c r="AIE24" s="605"/>
      <c r="AIF24" s="605"/>
      <c r="AIG24" s="605"/>
      <c r="AIH24" s="605"/>
      <c r="AII24" s="605"/>
      <c r="AIJ24" s="605"/>
      <c r="AIK24" s="605"/>
      <c r="AIL24" s="605"/>
      <c r="AIM24" s="605"/>
      <c r="AIN24" s="605"/>
      <c r="AIO24" s="605"/>
      <c r="AIP24" s="605"/>
      <c r="AIQ24" s="605"/>
      <c r="AIR24" s="605"/>
      <c r="AIS24" s="605"/>
      <c r="AIT24" s="605"/>
      <c r="AIU24" s="605"/>
      <c r="AIV24" s="605"/>
      <c r="AIW24" s="605"/>
      <c r="AIX24" s="605"/>
      <c r="AIY24" s="605"/>
      <c r="AIZ24" s="605"/>
      <c r="AJA24" s="605"/>
      <c r="AJB24" s="605"/>
      <c r="AJC24" s="605"/>
      <c r="AJD24" s="605"/>
      <c r="AJE24" s="605"/>
      <c r="AJF24" s="605"/>
      <c r="AJG24" s="605"/>
      <c r="AJH24" s="605"/>
      <c r="AJI24" s="605"/>
      <c r="AJJ24" s="605"/>
      <c r="AJK24" s="605"/>
      <c r="AJL24" s="605"/>
      <c r="AJM24" s="605"/>
      <c r="AJN24" s="605"/>
      <c r="AJO24" s="605"/>
    </row>
    <row r="25" spans="1:951" x14ac:dyDescent="0.25">
      <c r="A25" s="91" t="s">
        <v>29</v>
      </c>
      <c r="B25" s="96">
        <v>0</v>
      </c>
      <c r="C25" s="96">
        <v>18242906.686000001</v>
      </c>
      <c r="D25" s="96">
        <v>22997519.862999998</v>
      </c>
      <c r="E25" s="96">
        <v>4736971</v>
      </c>
      <c r="F25" s="96">
        <v>28957447</v>
      </c>
      <c r="G25" s="96">
        <v>1570352</v>
      </c>
      <c r="H25" s="96">
        <v>1088205</v>
      </c>
      <c r="I25" s="96">
        <v>1319348.9920000001</v>
      </c>
      <c r="J25" s="96">
        <v>1498304</v>
      </c>
      <c r="K25" s="96"/>
      <c r="L25" s="96">
        <v>8186780.79</v>
      </c>
      <c r="M25" s="96">
        <v>10617498.448999999</v>
      </c>
      <c r="N25" s="96">
        <v>11220369.971999999</v>
      </c>
      <c r="O25" s="96">
        <v>12634202</v>
      </c>
      <c r="P25" s="96">
        <v>13155093</v>
      </c>
      <c r="Q25" s="96">
        <v>0</v>
      </c>
      <c r="R25" s="96">
        <v>1019079.777</v>
      </c>
      <c r="S25" s="96">
        <v>1034036</v>
      </c>
      <c r="T25" s="96">
        <v>1218298</v>
      </c>
      <c r="U25" s="96">
        <v>1164210</v>
      </c>
      <c r="V25" s="96">
        <v>0</v>
      </c>
      <c r="W25" s="96">
        <v>0</v>
      </c>
      <c r="X25" s="96">
        <v>1609235</v>
      </c>
      <c r="Y25" s="96">
        <v>2836034</v>
      </c>
      <c r="Z25" s="96">
        <v>2901538</v>
      </c>
      <c r="AA25" s="96">
        <v>0</v>
      </c>
      <c r="AB25" s="96">
        <v>123270.47</v>
      </c>
      <c r="AC25" s="96">
        <v>867299.52</v>
      </c>
      <c r="AD25" s="96">
        <v>1591885</v>
      </c>
      <c r="AE25" s="96">
        <v>1319028</v>
      </c>
      <c r="AF25" s="96">
        <v>600000</v>
      </c>
      <c r="AG25" s="96">
        <v>2476796.5420000004</v>
      </c>
      <c r="AH25" s="96">
        <v>712245.02799999993</v>
      </c>
      <c r="AI25" s="96">
        <v>801505</v>
      </c>
      <c r="AJ25" s="96">
        <v>884971</v>
      </c>
      <c r="AK25" s="96">
        <v>0</v>
      </c>
      <c r="AL25" s="96">
        <v>789008.96600000001</v>
      </c>
      <c r="AM25" s="96">
        <v>750234.81900000002</v>
      </c>
      <c r="AN25" s="96">
        <v>557779</v>
      </c>
      <c r="AO25" s="96">
        <v>947040</v>
      </c>
      <c r="AP25" s="96">
        <v>0</v>
      </c>
      <c r="AQ25" s="96">
        <v>112797</v>
      </c>
      <c r="AR25" s="96">
        <v>159926</v>
      </c>
      <c r="AS25" s="96">
        <v>308346</v>
      </c>
      <c r="AT25" s="96">
        <v>537624</v>
      </c>
      <c r="AU25" s="96">
        <v>238404</v>
      </c>
      <c r="AV25" s="96">
        <v>658695</v>
      </c>
      <c r="AW25" s="96">
        <v>737508</v>
      </c>
      <c r="AX25" s="96">
        <v>231399</v>
      </c>
      <c r="AY25" s="96"/>
      <c r="AZ25" s="96">
        <v>1225997.612</v>
      </c>
      <c r="BA25" s="96">
        <v>1607965.179</v>
      </c>
      <c r="BB25" s="96">
        <v>1187929.433</v>
      </c>
      <c r="BC25" s="96">
        <v>292582</v>
      </c>
      <c r="BD25" s="96">
        <v>148700</v>
      </c>
      <c r="BE25" s="96">
        <v>0</v>
      </c>
      <c r="BF25" s="96">
        <v>1446582.2120000001</v>
      </c>
      <c r="BG25" s="96">
        <v>2052971.2720000001</v>
      </c>
      <c r="BH25" s="96">
        <v>2618111</v>
      </c>
      <c r="BI25" s="96">
        <v>3044574</v>
      </c>
      <c r="BJ25" s="96"/>
      <c r="BK25" s="96"/>
      <c r="BL25" s="96"/>
      <c r="BM25" s="96"/>
      <c r="BN25" s="96">
        <v>1637726</v>
      </c>
      <c r="BO25" s="96"/>
      <c r="BP25" s="96"/>
      <c r="BQ25" s="96">
        <v>358437</v>
      </c>
      <c r="BR25" s="96">
        <v>957343</v>
      </c>
      <c r="BS25" s="96">
        <v>1526462</v>
      </c>
      <c r="BT25" s="96">
        <v>383216.43099999998</v>
      </c>
      <c r="BU25" s="96">
        <v>413774.04700000002</v>
      </c>
      <c r="BV25" s="96">
        <v>525840</v>
      </c>
      <c r="BW25" s="96">
        <v>569395</v>
      </c>
      <c r="BX25" s="96">
        <v>69930</v>
      </c>
      <c r="BY25" s="96">
        <v>0</v>
      </c>
      <c r="BZ25" s="96">
        <v>4879771.477</v>
      </c>
      <c r="CA25" s="96">
        <v>3718817.9029999999</v>
      </c>
      <c r="CB25" s="96">
        <v>5675975</v>
      </c>
      <c r="CC25" s="96">
        <v>5059571</v>
      </c>
      <c r="CD25" s="96">
        <v>144037.038</v>
      </c>
      <c r="CE25" s="96">
        <v>113770.69</v>
      </c>
      <c r="CF25" s="96">
        <v>54228.080999999998</v>
      </c>
      <c r="CG25" s="96">
        <v>192002</v>
      </c>
      <c r="CH25" s="96">
        <v>458692</v>
      </c>
      <c r="CI25" s="96">
        <v>0</v>
      </c>
      <c r="CJ25" s="96">
        <v>0</v>
      </c>
      <c r="CK25" s="96">
        <v>760.10699999999997</v>
      </c>
      <c r="CL25" s="96">
        <v>467838</v>
      </c>
      <c r="CM25" s="96"/>
      <c r="CN25" s="96">
        <v>0</v>
      </c>
      <c r="CO25" s="96">
        <v>0</v>
      </c>
      <c r="CP25" s="96">
        <v>2877091.95</v>
      </c>
      <c r="CQ25" s="96">
        <v>2980052</v>
      </c>
      <c r="CR25" s="96">
        <v>3159838</v>
      </c>
      <c r="CS25" s="96">
        <v>0</v>
      </c>
      <c r="CT25" s="96">
        <v>165101.19700000001</v>
      </c>
      <c r="CU25" s="96">
        <v>313687</v>
      </c>
      <c r="CV25" s="96">
        <v>0</v>
      </c>
      <c r="CW25" s="96">
        <v>498362</v>
      </c>
      <c r="CX25" s="96">
        <v>0</v>
      </c>
      <c r="CY25" s="96">
        <v>46466</v>
      </c>
      <c r="CZ25" s="96">
        <v>43737</v>
      </c>
      <c r="DA25" s="96">
        <v>61746</v>
      </c>
      <c r="DB25" s="96">
        <v>61874</v>
      </c>
      <c r="DC25" s="96">
        <v>53305</v>
      </c>
      <c r="DD25" s="96">
        <v>162420</v>
      </c>
      <c r="DE25" s="96">
        <v>176828</v>
      </c>
      <c r="DF25" s="96">
        <v>435090</v>
      </c>
      <c r="DG25" s="96">
        <v>587086</v>
      </c>
      <c r="DH25" s="96">
        <v>0</v>
      </c>
      <c r="DI25" s="96">
        <v>0</v>
      </c>
      <c r="DJ25" s="96"/>
      <c r="DK25" s="96"/>
      <c r="DL25" s="96">
        <v>76279</v>
      </c>
      <c r="DM25" s="102">
        <v>3125149</v>
      </c>
      <c r="DN25" s="96">
        <v>3148071</v>
      </c>
      <c r="DO25" s="96">
        <v>4668001</v>
      </c>
      <c r="DP25" s="96">
        <v>5850833</v>
      </c>
      <c r="DQ25" s="96">
        <v>6062298</v>
      </c>
      <c r="DR25" s="96">
        <v>64868783.078000002</v>
      </c>
      <c r="DS25" s="96">
        <v>68878790.651999995</v>
      </c>
      <c r="DT25" s="96">
        <v>179892492.104</v>
      </c>
      <c r="DU25" s="96">
        <v>397298761</v>
      </c>
      <c r="DV25" s="96">
        <v>396860021</v>
      </c>
      <c r="DW25" s="96">
        <v>949801.12600000005</v>
      </c>
      <c r="DX25" s="96">
        <v>695138.33600000001</v>
      </c>
      <c r="DY25" s="96">
        <v>1310147.0150000001</v>
      </c>
      <c r="DZ25" s="96">
        <v>1540836</v>
      </c>
      <c r="EA25" s="96">
        <v>1271753</v>
      </c>
      <c r="EB25" s="96"/>
      <c r="EC25" s="96"/>
      <c r="ED25" s="96"/>
      <c r="EE25" s="96"/>
      <c r="EF25" s="96">
        <v>172397</v>
      </c>
      <c r="EG25" s="96"/>
      <c r="EH25" s="96"/>
      <c r="EI25" s="96"/>
      <c r="EJ25" s="96">
        <v>745679</v>
      </c>
      <c r="EK25" s="96">
        <v>174083</v>
      </c>
      <c r="EL25" s="96"/>
      <c r="EM25" s="96"/>
      <c r="EN25" s="96"/>
      <c r="EO25" s="96">
        <v>374538</v>
      </c>
      <c r="EP25" s="96">
        <v>678807</v>
      </c>
      <c r="EQ25" s="96"/>
      <c r="ER25" s="96"/>
      <c r="ES25" s="96"/>
      <c r="ET25" s="96"/>
      <c r="EU25" s="96">
        <v>1428559</v>
      </c>
      <c r="EV25" s="96">
        <v>1464882</v>
      </c>
      <c r="EW25" s="96">
        <v>1347679</v>
      </c>
      <c r="EX25" s="96">
        <v>13155093</v>
      </c>
      <c r="EY25" s="96">
        <v>12550930</v>
      </c>
      <c r="EZ25" s="96">
        <v>1164210</v>
      </c>
      <c r="FA25" s="96">
        <v>1498437</v>
      </c>
      <c r="FB25" s="96">
        <v>1319028</v>
      </c>
      <c r="FC25" s="96">
        <v>1677767</v>
      </c>
      <c r="FD25" s="96">
        <v>884971</v>
      </c>
      <c r="FE25" s="96">
        <v>677645</v>
      </c>
      <c r="FF25" s="96">
        <v>947040</v>
      </c>
      <c r="FG25" s="96">
        <v>718307</v>
      </c>
      <c r="FH25" s="96">
        <v>537624</v>
      </c>
      <c r="FI25" s="96"/>
      <c r="FJ25" s="96"/>
      <c r="FK25" s="96"/>
      <c r="FL25" s="96"/>
      <c r="FM25" s="96">
        <v>897102</v>
      </c>
      <c r="FN25" s="96">
        <v>1526462</v>
      </c>
      <c r="FO25" s="96">
        <v>1117278</v>
      </c>
      <c r="FP25" s="96">
        <v>3044574</v>
      </c>
      <c r="FQ25" s="96">
        <v>3394220</v>
      </c>
      <c r="FR25" s="96">
        <v>69930</v>
      </c>
      <c r="FS25" s="96"/>
      <c r="FT25" s="96">
        <v>148700</v>
      </c>
      <c r="FU25" s="96">
        <v>102824</v>
      </c>
      <c r="FV25" s="96">
        <v>5059571</v>
      </c>
      <c r="FW25" s="96">
        <v>3918896</v>
      </c>
      <c r="FX25" s="96">
        <v>172397</v>
      </c>
      <c r="FY25" s="96">
        <v>492665</v>
      </c>
      <c r="FZ25" s="96">
        <v>2901538</v>
      </c>
      <c r="GA25" s="96">
        <v>3244574</v>
      </c>
      <c r="GB25" s="96">
        <v>1637726</v>
      </c>
      <c r="GC25" s="96">
        <v>1582434</v>
      </c>
      <c r="GD25" s="96">
        <v>458692</v>
      </c>
      <c r="GE25" s="96">
        <v>983535</v>
      </c>
      <c r="GF25" s="96"/>
      <c r="GG25" s="96"/>
      <c r="GH25" s="96">
        <v>3159838</v>
      </c>
      <c r="GI25" s="96">
        <v>3058059</v>
      </c>
      <c r="GJ25" s="96"/>
      <c r="GK25" s="96">
        <v>13700</v>
      </c>
      <c r="GL25" s="96">
        <v>24051554</v>
      </c>
      <c r="GM25" s="96">
        <v>18221814</v>
      </c>
      <c r="GN25" s="96">
        <v>6342838</v>
      </c>
      <c r="GO25" s="96">
        <v>4219990</v>
      </c>
      <c r="GP25" s="96"/>
      <c r="GQ25" s="96"/>
      <c r="GR25" s="96"/>
      <c r="GS25" s="96"/>
      <c r="GT25" s="96">
        <v>3600025</v>
      </c>
      <c r="GU25" s="96">
        <v>2684119</v>
      </c>
      <c r="GV25" s="96"/>
      <c r="GW25" s="96"/>
      <c r="GX25" s="96">
        <v>1786174</v>
      </c>
      <c r="GY25" s="96">
        <v>902207</v>
      </c>
      <c r="GZ25" s="96">
        <v>60811439</v>
      </c>
      <c r="HA25" s="96">
        <v>74850044</v>
      </c>
      <c r="HB25" s="96">
        <v>5305754</v>
      </c>
      <c r="HC25" s="96">
        <v>5337889</v>
      </c>
      <c r="HD25" s="96">
        <v>1898160</v>
      </c>
      <c r="HE25" s="96">
        <v>1862055</v>
      </c>
      <c r="HF25" s="96">
        <v>9682630</v>
      </c>
      <c r="HG25" s="96">
        <v>8396149</v>
      </c>
      <c r="HH25" s="96">
        <v>175362123</v>
      </c>
      <c r="HI25" s="96">
        <v>210011313</v>
      </c>
      <c r="HJ25" s="96">
        <v>4169301</v>
      </c>
      <c r="HK25" s="96">
        <v>3437145</v>
      </c>
      <c r="HL25" s="96">
        <v>3247796</v>
      </c>
      <c r="HM25" s="96">
        <v>16471402</v>
      </c>
      <c r="HN25" s="96">
        <v>690749</v>
      </c>
      <c r="HO25" s="96">
        <v>814785</v>
      </c>
      <c r="HP25" s="96"/>
      <c r="HQ25" s="96">
        <v>304834</v>
      </c>
      <c r="HR25" s="96">
        <v>3613881</v>
      </c>
      <c r="HS25" s="96">
        <v>3389573</v>
      </c>
      <c r="HT25" s="96">
        <v>174083</v>
      </c>
      <c r="HU25" s="96"/>
      <c r="HV25" s="96">
        <v>678807</v>
      </c>
      <c r="HW25" s="96">
        <v>465211</v>
      </c>
      <c r="HX25" s="96">
        <v>8511505</v>
      </c>
      <c r="HY25" s="96">
        <v>10791035</v>
      </c>
      <c r="HZ25" s="96">
        <v>7188316</v>
      </c>
      <c r="IA25" s="96">
        <v>12662320</v>
      </c>
      <c r="IB25" s="96">
        <v>4154443</v>
      </c>
      <c r="IC25" s="96">
        <v>4011999</v>
      </c>
      <c r="ID25" s="96">
        <v>29629054</v>
      </c>
      <c r="IE25" s="96">
        <v>22717204</v>
      </c>
      <c r="IF25" s="96">
        <v>6578795</v>
      </c>
      <c r="IG25" s="96">
        <v>7564792</v>
      </c>
      <c r="IH25" s="96">
        <v>1198672</v>
      </c>
      <c r="II25" s="96">
        <v>1350713</v>
      </c>
      <c r="IJ25" s="96">
        <v>6892798</v>
      </c>
      <c r="IK25" s="96">
        <v>7687364</v>
      </c>
      <c r="IL25" s="96">
        <v>1428559</v>
      </c>
      <c r="IM25" s="96">
        <v>3079649</v>
      </c>
      <c r="IN25" s="96"/>
      <c r="IO25" s="96"/>
      <c r="IP25" s="96">
        <v>61874</v>
      </c>
      <c r="IQ25" s="96">
        <v>62769</v>
      </c>
      <c r="IR25" s="96">
        <v>587086</v>
      </c>
      <c r="IS25" s="96">
        <v>175168</v>
      </c>
      <c r="IT25" s="96">
        <v>76279</v>
      </c>
      <c r="IU25" s="96">
        <v>339411</v>
      </c>
      <c r="IV25" s="96">
        <v>6062298</v>
      </c>
      <c r="IW25" s="96">
        <v>6062298</v>
      </c>
      <c r="IX25" s="96">
        <v>396860021</v>
      </c>
      <c r="IY25" s="96">
        <v>412071708</v>
      </c>
      <c r="IZ25" s="96">
        <v>1271753</v>
      </c>
      <c r="JA25" s="96">
        <v>1449144</v>
      </c>
      <c r="JB25" s="96">
        <v>1347679</v>
      </c>
      <c r="JC25" s="96">
        <v>1385243</v>
      </c>
      <c r="JD25" s="96">
        <v>12550930</v>
      </c>
      <c r="JE25" s="96">
        <v>10281130</v>
      </c>
      <c r="JF25" s="96">
        <v>1498437</v>
      </c>
      <c r="JG25" s="96">
        <v>1128821</v>
      </c>
      <c r="JH25" s="96">
        <v>1677767</v>
      </c>
      <c r="JI25" s="96">
        <v>1763407</v>
      </c>
      <c r="JJ25" s="96">
        <v>677645</v>
      </c>
      <c r="JK25" s="96">
        <v>841596</v>
      </c>
      <c r="JL25" s="96">
        <v>718307</v>
      </c>
      <c r="JM25" s="96">
        <v>1012074</v>
      </c>
      <c r="JN25" s="96">
        <v>516003</v>
      </c>
      <c r="JO25" s="96"/>
      <c r="JP25" s="96"/>
      <c r="JQ25" s="96"/>
      <c r="JR25" s="96">
        <v>897102</v>
      </c>
      <c r="JS25" s="96">
        <v>757925</v>
      </c>
      <c r="JT25" s="96">
        <v>1117278</v>
      </c>
      <c r="JU25" s="96">
        <v>891072</v>
      </c>
      <c r="JV25" s="96">
        <v>3394220</v>
      </c>
      <c r="JW25" s="96">
        <v>2727722</v>
      </c>
      <c r="JX25" s="96"/>
      <c r="JY25" s="96"/>
      <c r="JZ25" s="96">
        <v>102824</v>
      </c>
      <c r="KA25" s="96">
        <v>855656</v>
      </c>
      <c r="KB25" s="96">
        <v>3918896</v>
      </c>
      <c r="KC25" s="96">
        <v>3097494</v>
      </c>
      <c r="KD25" s="96">
        <v>492665</v>
      </c>
      <c r="KE25" s="96">
        <v>588456</v>
      </c>
      <c r="KF25" s="96">
        <v>3244574</v>
      </c>
      <c r="KG25" s="96">
        <v>2426835</v>
      </c>
      <c r="KH25" s="96">
        <v>1582434</v>
      </c>
      <c r="KI25" s="96"/>
      <c r="KJ25" s="96">
        <v>983535</v>
      </c>
      <c r="KK25" s="96">
        <v>1183898</v>
      </c>
      <c r="KL25" s="96">
        <v>464570</v>
      </c>
      <c r="KM25" s="96"/>
      <c r="KN25" s="96">
        <v>3058059</v>
      </c>
      <c r="KO25" s="96">
        <v>2933311</v>
      </c>
      <c r="KP25" s="96">
        <v>13700</v>
      </c>
      <c r="KQ25" s="96"/>
      <c r="KR25" s="96">
        <v>18221814</v>
      </c>
      <c r="KS25" s="96">
        <v>13956091</v>
      </c>
      <c r="KT25" s="96">
        <v>4219990</v>
      </c>
      <c r="KU25" s="96">
        <v>1466743</v>
      </c>
      <c r="KV25" s="96"/>
      <c r="KW25" s="96"/>
      <c r="KX25" s="96">
        <v>60167</v>
      </c>
      <c r="KY25" s="96"/>
      <c r="KZ25" s="96">
        <v>2684119</v>
      </c>
      <c r="LA25" s="96">
        <v>2677939</v>
      </c>
      <c r="LB25" s="96"/>
      <c r="LC25" s="96">
        <v>324559</v>
      </c>
      <c r="LD25" s="96">
        <v>902207</v>
      </c>
      <c r="LE25" s="96">
        <v>1941261</v>
      </c>
      <c r="LF25" s="96">
        <v>74850044</v>
      </c>
      <c r="LG25" s="96">
        <v>80334308</v>
      </c>
      <c r="LH25" s="96">
        <v>5337889</v>
      </c>
      <c r="LI25" s="96">
        <v>6263369</v>
      </c>
      <c r="LJ25" s="96">
        <v>1862055</v>
      </c>
      <c r="LK25" s="96">
        <v>2132837</v>
      </c>
      <c r="LL25" s="96">
        <v>8396149</v>
      </c>
      <c r="LM25" s="96">
        <v>4898444</v>
      </c>
      <c r="LN25" s="96">
        <v>210011313</v>
      </c>
      <c r="LO25" s="96">
        <v>204432482</v>
      </c>
      <c r="LP25" s="96">
        <v>3437145</v>
      </c>
      <c r="LQ25" s="96">
        <v>551214</v>
      </c>
      <c r="LR25" s="96">
        <v>16471402</v>
      </c>
      <c r="LS25" s="96">
        <v>26149000</v>
      </c>
      <c r="LT25" s="96">
        <v>814785</v>
      </c>
      <c r="LU25" s="96">
        <v>625797</v>
      </c>
      <c r="LV25" s="96">
        <v>304834</v>
      </c>
      <c r="LW25" s="96">
        <v>413326</v>
      </c>
      <c r="LX25" s="96">
        <v>3389573</v>
      </c>
      <c r="LY25" s="96">
        <v>7965859</v>
      </c>
      <c r="LZ25" s="96"/>
      <c r="MA25" s="96"/>
      <c r="MB25" s="96">
        <v>465211</v>
      </c>
      <c r="MC25" s="96">
        <v>589713</v>
      </c>
      <c r="MD25" s="96">
        <v>10791035</v>
      </c>
      <c r="ME25" s="96">
        <v>6896590</v>
      </c>
      <c r="MF25" s="96">
        <v>12662320</v>
      </c>
      <c r="MG25" s="96">
        <v>17052164</v>
      </c>
      <c r="MH25" s="96">
        <v>4011999</v>
      </c>
      <c r="MI25" s="96">
        <v>3660420</v>
      </c>
      <c r="MJ25" s="96">
        <v>22717204</v>
      </c>
      <c r="MK25" s="96">
        <v>22661356</v>
      </c>
      <c r="ML25" s="96">
        <v>7564792</v>
      </c>
      <c r="MM25" s="96">
        <v>6983637</v>
      </c>
      <c r="MN25" s="96">
        <v>1350713</v>
      </c>
      <c r="MO25" s="96">
        <v>2027817</v>
      </c>
      <c r="MP25" s="96">
        <v>7687364</v>
      </c>
      <c r="MQ25" s="96">
        <v>10534316</v>
      </c>
      <c r="MR25" s="96">
        <v>3079649</v>
      </c>
      <c r="MS25" s="96">
        <v>4544050</v>
      </c>
      <c r="MT25" s="96">
        <v>430303</v>
      </c>
      <c r="MU25" s="96">
        <v>430303</v>
      </c>
      <c r="MV25" s="96">
        <v>62769</v>
      </c>
      <c r="MW25" s="96">
        <v>130117</v>
      </c>
      <c r="MX25" s="96">
        <v>175168</v>
      </c>
      <c r="MY25" s="96">
        <v>159669</v>
      </c>
      <c r="MZ25" s="96">
        <v>339411</v>
      </c>
      <c r="NA25" s="96">
        <v>608029</v>
      </c>
      <c r="NB25" s="96">
        <v>6062298</v>
      </c>
      <c r="NC25" s="96">
        <v>5667932</v>
      </c>
      <c r="ND25" s="96">
        <v>412071708</v>
      </c>
      <c r="NE25" s="96">
        <v>180570960</v>
      </c>
      <c r="NF25" s="96">
        <v>1449144</v>
      </c>
      <c r="NG25" s="96">
        <v>1635117</v>
      </c>
      <c r="NH25" s="391">
        <v>1385243</v>
      </c>
      <c r="NI25" s="391">
        <f>537597+300832+81773</f>
        <v>920202</v>
      </c>
      <c r="NJ25" s="391">
        <f>13311790+846886</f>
        <v>14158676</v>
      </c>
      <c r="NK25" s="391">
        <f>8814695+970111</f>
        <v>9784806</v>
      </c>
      <c r="NL25" s="391">
        <v>1128821</v>
      </c>
      <c r="NM25" s="391">
        <v>323509</v>
      </c>
      <c r="NN25" s="391">
        <f>1126051+631845</f>
        <v>1757896</v>
      </c>
      <c r="NO25" s="391">
        <f>1200465+776208</f>
        <v>1976673</v>
      </c>
      <c r="NP25" s="391">
        <v>841596</v>
      </c>
      <c r="NQ25" s="391">
        <f>10671+240404+734269</f>
        <v>985344</v>
      </c>
      <c r="NR25" s="391">
        <v>1012074</v>
      </c>
      <c r="NS25" s="391">
        <f>795353+74456+95433</f>
        <v>965242</v>
      </c>
      <c r="NT25" s="391">
        <v>516003</v>
      </c>
      <c r="NU25" s="391"/>
      <c r="NV25" s="391"/>
      <c r="NW25" s="391"/>
      <c r="NX25" s="391">
        <v>757925</v>
      </c>
      <c r="NY25" s="391">
        <v>1123907</v>
      </c>
      <c r="NZ25" s="391">
        <f>624312+266760</f>
        <v>891072</v>
      </c>
      <c r="OA25" s="391">
        <f>762375+345949</f>
        <v>1108324</v>
      </c>
      <c r="OB25" s="391">
        <v>2727722</v>
      </c>
      <c r="OC25" s="391">
        <f>519063+1194138</f>
        <v>1713201</v>
      </c>
      <c r="OD25" s="391"/>
      <c r="OE25" s="391"/>
      <c r="OF25" s="391">
        <v>855656</v>
      </c>
      <c r="OG25" s="391">
        <f>474032+482508</f>
        <v>956540</v>
      </c>
      <c r="OH25" s="391">
        <v>3097494</v>
      </c>
      <c r="OI25" s="391">
        <v>2125759</v>
      </c>
      <c r="OJ25" s="391">
        <v>588456</v>
      </c>
      <c r="OK25" s="391">
        <f>1119591+278675</f>
        <v>1398266</v>
      </c>
      <c r="OL25" s="391">
        <f>498304+1928531</f>
        <v>2426835</v>
      </c>
      <c r="OM25" s="391">
        <f>1698173+776102</f>
        <v>2474275</v>
      </c>
      <c r="ON25" s="391"/>
      <c r="OO25" s="391">
        <f>1220668+743137</f>
        <v>1963805</v>
      </c>
      <c r="OP25" s="391">
        <v>1183898</v>
      </c>
      <c r="OQ25" s="391">
        <f>508428+37771+12348</f>
        <v>558547</v>
      </c>
      <c r="OR25" s="391"/>
      <c r="OS25" s="391"/>
      <c r="OT25" s="391">
        <v>2933311</v>
      </c>
      <c r="OU25" s="391">
        <f>1298364+554550</f>
        <v>1852914</v>
      </c>
      <c r="OV25" s="391"/>
      <c r="OW25" s="391">
        <f>227269+159457</f>
        <v>386726</v>
      </c>
      <c r="OX25" s="391">
        <v>13956091</v>
      </c>
      <c r="OY25" s="391">
        <f>17615016+2419307+196997</f>
        <v>20231320</v>
      </c>
      <c r="OZ25" s="391">
        <v>1466743</v>
      </c>
      <c r="PA25" s="391">
        <f>275069+213613</f>
        <v>488682</v>
      </c>
      <c r="PB25" s="391">
        <v>138154</v>
      </c>
      <c r="PC25" s="391">
        <v>131882</v>
      </c>
      <c r="PD25" s="391"/>
      <c r="PE25" s="391"/>
      <c r="PF25" s="391">
        <v>2677939</v>
      </c>
      <c r="PG25" s="391">
        <f>1952809+857967+37938</f>
        <v>2848714</v>
      </c>
      <c r="PH25" s="391">
        <v>324559</v>
      </c>
      <c r="PI25" s="391"/>
      <c r="PJ25" s="391">
        <v>1941261</v>
      </c>
      <c r="PK25" s="391">
        <f>2111469+330612</f>
        <v>2442081</v>
      </c>
      <c r="PL25" s="391">
        <f>52748805+8703954</f>
        <v>61452759</v>
      </c>
      <c r="PM25" s="391">
        <f>38749762+8080448</f>
        <v>46830210</v>
      </c>
      <c r="PN25" s="391">
        <f>2708858+3597994</f>
        <v>6306852</v>
      </c>
      <c r="PO25" s="391">
        <f>3520572+4639977</f>
        <v>8160549</v>
      </c>
      <c r="PP25" s="391">
        <v>2132837</v>
      </c>
      <c r="PQ25" s="391">
        <f>1173896+772386</f>
        <v>1946282</v>
      </c>
      <c r="PR25" s="391">
        <v>4898444</v>
      </c>
      <c r="PS25" s="391">
        <v>3180495</v>
      </c>
      <c r="PT25" s="391">
        <f>197628240+4959097+1886273</f>
        <v>204473610</v>
      </c>
      <c r="PU25" s="391">
        <f>213490865+4458936+1154167</f>
        <v>219103968</v>
      </c>
      <c r="PV25" s="391">
        <f>2141640+1295505</f>
        <v>3437145</v>
      </c>
      <c r="PW25" s="391">
        <f>94898+456316</f>
        <v>551214</v>
      </c>
      <c r="PX25" s="391">
        <f>22106000+2663000</f>
        <v>24769000</v>
      </c>
      <c r="PY25" s="391">
        <f>26661000+3476000</f>
        <v>30137000</v>
      </c>
      <c r="PZ25" s="391">
        <v>625797</v>
      </c>
      <c r="QA25" s="391">
        <v>833996</v>
      </c>
      <c r="QB25" s="391">
        <v>413326</v>
      </c>
      <c r="QC25" s="391">
        <f>483253+367750+974</f>
        <v>851977</v>
      </c>
      <c r="QD25" s="391">
        <v>7965859</v>
      </c>
      <c r="QE25" s="391">
        <f>6987758+367160</f>
        <v>7354918</v>
      </c>
      <c r="QF25" s="391"/>
      <c r="QG25" s="391"/>
      <c r="QH25" s="391">
        <v>589713</v>
      </c>
      <c r="QI25" s="391">
        <f>297246+372217</f>
        <v>669463</v>
      </c>
      <c r="QJ25" s="391">
        <v>6896590</v>
      </c>
      <c r="QK25" s="391">
        <f>4404963+1514454+66325</f>
        <v>5985742</v>
      </c>
      <c r="QL25" s="391">
        <v>17052164</v>
      </c>
      <c r="QM25" s="391">
        <f>13958598+9045226</f>
        <v>23003824</v>
      </c>
      <c r="QN25" s="391">
        <f>3550350+271653+189996</f>
        <v>4011999</v>
      </c>
      <c r="QO25" s="391">
        <f>1603740+2050329+6351</f>
        <v>3660420</v>
      </c>
      <c r="QP25" s="391">
        <v>22661356</v>
      </c>
      <c r="QQ25" s="391">
        <f>24472908+2683551</f>
        <v>27156459</v>
      </c>
      <c r="QR25" s="391">
        <v>6983637</v>
      </c>
      <c r="QS25" s="391">
        <f>5591759+1362908</f>
        <v>6954667</v>
      </c>
      <c r="QT25" s="391">
        <v>2027817</v>
      </c>
      <c r="QU25" s="391">
        <f>1020844+149432</f>
        <v>1170276</v>
      </c>
      <c r="QV25" s="391">
        <f>5145250+2542114</f>
        <v>7687364</v>
      </c>
      <c r="QW25" s="391">
        <f>8873766+1660550</f>
        <v>10534316</v>
      </c>
      <c r="QX25" s="391">
        <f>2666645+1416424+104693</f>
        <v>4187762</v>
      </c>
      <c r="QY25" s="391">
        <f>2592356+944821+150466</f>
        <v>3687643</v>
      </c>
      <c r="QZ25" s="391">
        <f>179546+250757</f>
        <v>430303</v>
      </c>
      <c r="RA25" s="391">
        <f>179546+250757</f>
        <v>430303</v>
      </c>
      <c r="RB25" s="391">
        <v>130117</v>
      </c>
      <c r="RC25" s="391">
        <v>236853</v>
      </c>
      <c r="RD25" s="391">
        <f>92606+82562</f>
        <v>175168</v>
      </c>
      <c r="RE25" s="391">
        <f>47993+111676</f>
        <v>159669</v>
      </c>
      <c r="RF25" s="391">
        <v>608029</v>
      </c>
      <c r="RG25" s="391"/>
      <c r="RH25" s="391">
        <f>4616396+1445902</f>
        <v>6062298</v>
      </c>
      <c r="RI25" s="391">
        <f>3871898+1796034</f>
        <v>5667932</v>
      </c>
      <c r="RJ25" s="391">
        <v>192569834</v>
      </c>
      <c r="RK25" s="391">
        <v>86844580</v>
      </c>
      <c r="RL25" s="391">
        <v>1635117</v>
      </c>
      <c r="RM25" s="391">
        <f>1283130+395026</f>
        <v>1678156</v>
      </c>
      <c r="RN25" s="96">
        <v>551565</v>
      </c>
      <c r="RO25" s="96">
        <v>508421</v>
      </c>
      <c r="RP25" s="96">
        <v>9689654</v>
      </c>
      <c r="RQ25" s="96">
        <v>8037262</v>
      </c>
      <c r="RR25" s="96">
        <v>323509</v>
      </c>
      <c r="RS25" s="96">
        <v>725384</v>
      </c>
      <c r="RT25" s="96">
        <v>1976672</v>
      </c>
      <c r="RU25" s="96">
        <v>2046862</v>
      </c>
      <c r="RV25" s="96">
        <v>985344</v>
      </c>
      <c r="RW25" s="96">
        <v>808722</v>
      </c>
      <c r="RX25" s="96">
        <v>972295</v>
      </c>
      <c r="RY25" s="96">
        <v>262811</v>
      </c>
      <c r="RZ25" s="96"/>
      <c r="SA25" s="96"/>
      <c r="SB25" s="96"/>
      <c r="SC25" s="96"/>
      <c r="SD25" s="96">
        <v>1123907</v>
      </c>
      <c r="SE25" s="96">
        <v>850756</v>
      </c>
      <c r="SF25" s="96">
        <v>1111357</v>
      </c>
      <c r="SG25" s="96">
        <v>1356150</v>
      </c>
      <c r="SH25" s="96">
        <v>1713201</v>
      </c>
      <c r="SI25" s="96">
        <v>1609367</v>
      </c>
      <c r="SJ25" s="96"/>
      <c r="SK25" s="96"/>
      <c r="SL25" s="96">
        <v>956540</v>
      </c>
      <c r="SM25" s="96">
        <v>1330387</v>
      </c>
      <c r="SN25" s="96">
        <v>2125759</v>
      </c>
      <c r="SO25" s="96">
        <v>605794</v>
      </c>
      <c r="SP25" s="96">
        <v>1398266</v>
      </c>
      <c r="SQ25" s="96">
        <v>1210879</v>
      </c>
      <c r="SR25" s="96">
        <v>2507561</v>
      </c>
      <c r="SS25" s="96">
        <v>2376006</v>
      </c>
      <c r="ST25" s="96">
        <v>1963805</v>
      </c>
      <c r="SU25" s="96"/>
      <c r="SV25" s="96">
        <v>548038</v>
      </c>
      <c r="SW25" s="96">
        <v>1625412</v>
      </c>
      <c r="SX25" s="96"/>
      <c r="SY25" s="96">
        <v>195395</v>
      </c>
      <c r="SZ25" s="96">
        <v>1852914</v>
      </c>
      <c r="TA25" s="96">
        <v>1659366</v>
      </c>
      <c r="TB25" s="96">
        <v>386726</v>
      </c>
      <c r="TC25" s="96"/>
      <c r="TD25" s="96">
        <v>16550664</v>
      </c>
      <c r="TE25" s="96">
        <v>17780477</v>
      </c>
      <c r="TF25" s="96">
        <v>488683</v>
      </c>
      <c r="TG25" s="96">
        <v>306037</v>
      </c>
      <c r="TH25" s="96">
        <v>97026</v>
      </c>
      <c r="TI25" s="96">
        <v>237515</v>
      </c>
      <c r="TJ25" s="96"/>
      <c r="TK25" s="96"/>
      <c r="TL25" s="96">
        <v>3116522</v>
      </c>
      <c r="TM25" s="96">
        <v>3072686</v>
      </c>
      <c r="TN25" s="96"/>
      <c r="TO25" s="96">
        <v>288952</v>
      </c>
      <c r="TP25" s="96">
        <v>2728663</v>
      </c>
      <c r="TQ25" s="96">
        <v>1913910</v>
      </c>
      <c r="TR25" s="96">
        <v>46830210</v>
      </c>
      <c r="TS25" s="96">
        <v>41850610</v>
      </c>
      <c r="TT25" s="96">
        <v>8160549</v>
      </c>
      <c r="TU25" s="96">
        <v>7525305</v>
      </c>
      <c r="TV25" s="96">
        <v>1174046000</v>
      </c>
      <c r="TW25" s="96">
        <v>885329000</v>
      </c>
      <c r="TX25" s="96">
        <v>3180495</v>
      </c>
      <c r="TY25" s="96">
        <v>2965846</v>
      </c>
      <c r="TZ25" s="96">
        <v>219103968</v>
      </c>
      <c r="UA25" s="96">
        <v>176705352</v>
      </c>
      <c r="UB25" s="96">
        <v>551214</v>
      </c>
      <c r="UC25" s="96"/>
      <c r="UD25" s="96">
        <v>30137000</v>
      </c>
      <c r="UE25" s="96">
        <v>27184000</v>
      </c>
      <c r="UF25" s="96">
        <v>833996</v>
      </c>
      <c r="UG25" s="96">
        <v>1108139</v>
      </c>
      <c r="UH25" s="96">
        <v>911655</v>
      </c>
      <c r="UI25" s="96">
        <v>2372230</v>
      </c>
      <c r="UJ25" s="96">
        <v>8008326</v>
      </c>
      <c r="UK25" s="96">
        <v>6713920</v>
      </c>
      <c r="UL25" s="96"/>
      <c r="UM25" s="96"/>
      <c r="UN25" s="96">
        <v>669463</v>
      </c>
      <c r="UO25" s="96">
        <v>846994</v>
      </c>
      <c r="UP25" s="96">
        <v>5790562</v>
      </c>
      <c r="UQ25" s="96">
        <v>4232923</v>
      </c>
      <c r="UR25" s="96">
        <v>23003823</v>
      </c>
      <c r="US25" s="96">
        <v>25967794</v>
      </c>
      <c r="UT25" s="96">
        <v>3660420</v>
      </c>
      <c r="UU25" s="96"/>
      <c r="UV25" s="96">
        <v>27156459</v>
      </c>
      <c r="UW25" s="96">
        <v>25851975</v>
      </c>
      <c r="UX25" s="96">
        <v>8017558</v>
      </c>
      <c r="UY25" s="96">
        <v>8342053</v>
      </c>
      <c r="UZ25" s="96">
        <v>1170276</v>
      </c>
      <c r="VA25" s="96">
        <v>462419</v>
      </c>
      <c r="VB25" s="96">
        <v>4056779</v>
      </c>
      <c r="VC25" s="96">
        <v>6827220</v>
      </c>
      <c r="VD25" s="96">
        <v>3689636</v>
      </c>
      <c r="VE25" s="96">
        <v>3454505</v>
      </c>
      <c r="VF25" s="96">
        <v>430303</v>
      </c>
      <c r="VG25" s="96"/>
      <c r="VH25" s="96">
        <v>236853</v>
      </c>
      <c r="VI25" s="96">
        <v>123450</v>
      </c>
      <c r="VJ25" s="96">
        <v>83299</v>
      </c>
      <c r="VK25" s="96">
        <v>72100</v>
      </c>
      <c r="VL25" s="96"/>
      <c r="VM25" s="96">
        <v>267409</v>
      </c>
      <c r="VN25" s="96">
        <v>5667932</v>
      </c>
      <c r="VO25" s="96"/>
      <c r="VP25" s="96">
        <v>86844580</v>
      </c>
      <c r="VQ25" s="96">
        <v>44182153</v>
      </c>
      <c r="VR25" s="96">
        <v>1678156</v>
      </c>
      <c r="VS25" s="96">
        <v>732643</v>
      </c>
      <c r="VT25" s="96">
        <v>508421</v>
      </c>
      <c r="VU25" s="96">
        <v>404116</v>
      </c>
      <c r="VV25" s="96">
        <v>8508777</v>
      </c>
      <c r="VW25" s="96">
        <v>5501908</v>
      </c>
      <c r="VX25" s="96">
        <v>725384</v>
      </c>
      <c r="VY25" s="96">
        <v>695159</v>
      </c>
      <c r="VZ25" s="96">
        <v>2046862</v>
      </c>
      <c r="WA25" s="96">
        <v>2012328</v>
      </c>
      <c r="WB25" s="96">
        <v>808722</v>
      </c>
      <c r="WC25" s="96">
        <v>1009799</v>
      </c>
      <c r="WD25" s="96">
        <v>262811</v>
      </c>
      <c r="WE25" s="96">
        <v>266050</v>
      </c>
      <c r="WF25" s="96"/>
      <c r="WG25" s="96"/>
      <c r="WH25" s="96"/>
      <c r="WI25" s="96"/>
      <c r="WJ25" s="96">
        <v>850756</v>
      </c>
      <c r="WK25" s="96">
        <v>828224</v>
      </c>
      <c r="WL25" s="96">
        <v>1389506</v>
      </c>
      <c r="WM25" s="96">
        <v>1696474</v>
      </c>
      <c r="WN25" s="96">
        <v>1609367</v>
      </c>
      <c r="WO25" s="96">
        <v>2138897</v>
      </c>
      <c r="WP25" s="96"/>
      <c r="WQ25" s="96"/>
      <c r="WR25" s="96">
        <v>495651</v>
      </c>
      <c r="WS25" s="96">
        <v>976694</v>
      </c>
      <c r="WT25" s="96">
        <v>605794</v>
      </c>
      <c r="WU25" s="96">
        <v>1048239</v>
      </c>
      <c r="WV25" s="96">
        <v>1210879</v>
      </c>
      <c r="WW25" s="96">
        <v>724320</v>
      </c>
      <c r="WX25" s="96">
        <v>2376006</v>
      </c>
      <c r="WY25" s="96">
        <v>1269447</v>
      </c>
      <c r="WZ25" s="96"/>
      <c r="XA25" s="96">
        <v>310761</v>
      </c>
      <c r="XB25" s="96">
        <v>1625412</v>
      </c>
      <c r="XC25" s="96">
        <v>1948374</v>
      </c>
      <c r="XD25" s="96">
        <v>195395</v>
      </c>
      <c r="XE25" s="96">
        <v>296634</v>
      </c>
      <c r="XF25" s="96">
        <v>1659366</v>
      </c>
      <c r="XG25" s="96">
        <v>1466028</v>
      </c>
      <c r="XH25" s="96">
        <v>165308</v>
      </c>
      <c r="XI25" s="96">
        <v>855741</v>
      </c>
      <c r="XJ25" s="96">
        <v>17780477</v>
      </c>
      <c r="XK25" s="96">
        <v>27432449</v>
      </c>
      <c r="XL25" s="96">
        <v>306037</v>
      </c>
      <c r="XM25" s="96">
        <v>226744</v>
      </c>
      <c r="XN25" s="96">
        <v>219990</v>
      </c>
      <c r="XO25" s="96"/>
      <c r="XP25" s="96"/>
      <c r="XQ25" s="96"/>
      <c r="XR25" s="96">
        <v>3072686</v>
      </c>
      <c r="XS25" s="96">
        <v>2469604</v>
      </c>
      <c r="XT25" s="96">
        <v>288952</v>
      </c>
      <c r="XU25" s="96">
        <v>802462</v>
      </c>
      <c r="XV25" s="96">
        <v>1585400</v>
      </c>
      <c r="XW25" s="96">
        <v>1690751</v>
      </c>
      <c r="XX25" s="96">
        <v>41850610</v>
      </c>
      <c r="XY25" s="96">
        <v>41301290</v>
      </c>
      <c r="XZ25" s="96">
        <v>7535379</v>
      </c>
      <c r="YA25" s="96">
        <v>8114279</v>
      </c>
      <c r="YB25" s="96">
        <v>885329</v>
      </c>
      <c r="YC25" s="96">
        <v>1446955</v>
      </c>
      <c r="YD25" s="96">
        <v>1444050</v>
      </c>
      <c r="YE25" s="96">
        <v>1370056</v>
      </c>
      <c r="YF25" s="96">
        <v>176705352</v>
      </c>
      <c r="YG25" s="96">
        <v>100605572</v>
      </c>
      <c r="YH25" s="96"/>
      <c r="YI25" s="96"/>
      <c r="YJ25" s="96">
        <v>27184000</v>
      </c>
      <c r="YK25" s="96"/>
      <c r="YL25" s="96">
        <v>1024492430</v>
      </c>
      <c r="YM25" s="96">
        <v>1850741815</v>
      </c>
      <c r="YN25" s="96">
        <v>2372230</v>
      </c>
      <c r="YO25" s="96">
        <v>3791646</v>
      </c>
      <c r="YP25" s="96">
        <v>6713920</v>
      </c>
      <c r="YQ25" s="96">
        <v>7895192</v>
      </c>
      <c r="YR25" s="96"/>
      <c r="YS25" s="96"/>
      <c r="YT25" s="96">
        <v>846994</v>
      </c>
      <c r="YU25" s="96">
        <v>2063919</v>
      </c>
      <c r="YV25" s="96">
        <v>4232923</v>
      </c>
      <c r="YW25" s="96">
        <v>3581585</v>
      </c>
      <c r="YX25" s="96">
        <v>25967794</v>
      </c>
      <c r="YY25" s="96">
        <v>35716078</v>
      </c>
      <c r="YZ25" s="96">
        <v>1538387</v>
      </c>
      <c r="ZA25" s="96">
        <v>1098855</v>
      </c>
      <c r="ZB25" s="96">
        <v>25851975</v>
      </c>
      <c r="ZC25" s="96">
        <v>26796132</v>
      </c>
      <c r="ZD25" s="96">
        <v>8342053</v>
      </c>
      <c r="ZE25" s="96">
        <v>6358845</v>
      </c>
      <c r="ZF25" s="96">
        <v>462419</v>
      </c>
      <c r="ZG25" s="96">
        <v>421097</v>
      </c>
      <c r="ZH25" s="96">
        <v>6827220</v>
      </c>
      <c r="ZI25" s="96">
        <v>10166518</v>
      </c>
      <c r="ZJ25" s="96">
        <v>3454505</v>
      </c>
      <c r="ZK25" s="96">
        <v>3271070</v>
      </c>
      <c r="ZL25" s="96"/>
      <c r="ZM25" s="96"/>
      <c r="ZN25" s="96">
        <v>123450</v>
      </c>
      <c r="ZO25" s="96">
        <v>268548</v>
      </c>
      <c r="ZP25" s="96">
        <v>72100</v>
      </c>
      <c r="ZQ25" s="96"/>
      <c r="ZR25" s="96">
        <v>267409</v>
      </c>
      <c r="ZS25" s="96">
        <v>100431</v>
      </c>
      <c r="ZT25" s="96"/>
      <c r="ZU25" s="96"/>
      <c r="ZV25" s="96">
        <v>44182153</v>
      </c>
      <c r="ZW25" s="96">
        <v>38824531</v>
      </c>
      <c r="ZX25" s="96">
        <v>732644</v>
      </c>
      <c r="ZY25" s="96">
        <v>282133</v>
      </c>
      <c r="ZZ25" s="762">
        <v>377980</v>
      </c>
      <c r="AAA25" s="737">
        <v>408225</v>
      </c>
      <c r="AAB25" s="762">
        <v>1027338</v>
      </c>
      <c r="AAC25" s="762">
        <v>976093</v>
      </c>
      <c r="AAD25" s="762">
        <v>56373</v>
      </c>
      <c r="AAE25" s="762">
        <v>75374</v>
      </c>
      <c r="AAF25" s="762">
        <v>60542</v>
      </c>
      <c r="AAG25" s="737">
        <v>22963</v>
      </c>
      <c r="AAH25" s="762">
        <v>349302</v>
      </c>
      <c r="AAI25" s="762">
        <v>102363</v>
      </c>
      <c r="AAJ25" s="762">
        <v>907731</v>
      </c>
      <c r="AAK25" s="762">
        <v>581492</v>
      </c>
      <c r="AAL25" s="762">
        <v>334300</v>
      </c>
      <c r="AAM25" s="762">
        <v>296687</v>
      </c>
      <c r="AAN25" s="762">
        <v>536116</v>
      </c>
      <c r="AAO25" s="762">
        <v>627084</v>
      </c>
      <c r="AAP25" s="762">
        <v>382312</v>
      </c>
      <c r="AAQ25" s="762">
        <v>371105</v>
      </c>
      <c r="AAR25" s="762">
        <v>688331</v>
      </c>
      <c r="AAS25" s="762">
        <v>454997</v>
      </c>
      <c r="AAT25" s="765"/>
      <c r="AAU25" s="766">
        <v>1879887</v>
      </c>
      <c r="AAV25" s="741">
        <v>2400</v>
      </c>
      <c r="AAW25" s="741">
        <v>1850</v>
      </c>
      <c r="AAX25" s="737">
        <v>644833</v>
      </c>
      <c r="AAY25" s="737">
        <v>882199</v>
      </c>
      <c r="AAZ25" s="737">
        <v>333383</v>
      </c>
      <c r="ABA25" s="737">
        <v>269107</v>
      </c>
      <c r="ABB25" s="762">
        <v>106339</v>
      </c>
      <c r="ABC25" s="762">
        <v>81921</v>
      </c>
      <c r="ABD25" s="762">
        <v>1395531</v>
      </c>
      <c r="ABE25" s="766">
        <v>2423550</v>
      </c>
      <c r="ABF25" s="766">
        <v>113042</v>
      </c>
      <c r="ABG25" s="766">
        <v>119905</v>
      </c>
      <c r="ABH25" s="765">
        <v>276618</v>
      </c>
      <c r="ABI25" s="762">
        <v>229229</v>
      </c>
      <c r="ABJ25" s="762">
        <v>6205223</v>
      </c>
      <c r="ABK25" s="762">
        <v>4810633</v>
      </c>
      <c r="ABL25" s="762">
        <v>1805099</v>
      </c>
      <c r="ABM25" s="778">
        <v>2335733</v>
      </c>
      <c r="ABN25" s="762">
        <v>806648</v>
      </c>
      <c r="ABO25" s="762">
        <v>1169205</v>
      </c>
      <c r="ABP25" s="762">
        <v>123931</v>
      </c>
      <c r="ABQ25" s="762">
        <v>326376</v>
      </c>
      <c r="ABR25" s="762">
        <v>5231520</v>
      </c>
      <c r="ABS25" s="762">
        <v>2750890</v>
      </c>
      <c r="ABT25" s="762">
        <v>2054108</v>
      </c>
      <c r="ABU25" s="762">
        <v>719098</v>
      </c>
      <c r="ABV25" s="762">
        <v>6705000</v>
      </c>
      <c r="ABW25" s="762">
        <v>6139000</v>
      </c>
      <c r="ABX25" s="762">
        <v>1814288</v>
      </c>
      <c r="ABY25" s="762">
        <v>1517920</v>
      </c>
      <c r="ABZ25" s="737">
        <v>1038711</v>
      </c>
      <c r="ACA25" s="737">
        <v>674221</v>
      </c>
      <c r="ACB25" s="762">
        <v>2004692</v>
      </c>
      <c r="ACC25" s="762">
        <v>1685777</v>
      </c>
      <c r="ACD25" s="762">
        <v>563024</v>
      </c>
      <c r="ACE25" s="762">
        <v>658456</v>
      </c>
      <c r="ACF25" s="762">
        <v>901383</v>
      </c>
      <c r="ACG25" s="762">
        <v>940050</v>
      </c>
      <c r="ACH25" s="762">
        <f>1215239+5642151</f>
        <v>6857390</v>
      </c>
      <c r="ACI25" s="762">
        <f>3033505+6481708</f>
        <v>9515213</v>
      </c>
      <c r="ACJ25" s="762">
        <v>231361</v>
      </c>
      <c r="ACK25" s="737">
        <v>221387</v>
      </c>
      <c r="ACL25" s="762">
        <v>2527684</v>
      </c>
      <c r="ACM25" s="762">
        <v>2664066</v>
      </c>
      <c r="ACN25" s="762">
        <v>113659</v>
      </c>
      <c r="ACO25" s="762">
        <v>135020</v>
      </c>
      <c r="ACP25" s="762">
        <v>1406389</v>
      </c>
      <c r="ACQ25" s="767">
        <v>1201453</v>
      </c>
      <c r="ACR25" s="767">
        <v>17328</v>
      </c>
      <c r="ACS25" s="767">
        <v>31877</v>
      </c>
      <c r="ACT25" s="762">
        <v>57323</v>
      </c>
      <c r="ACU25" s="762">
        <v>56806</v>
      </c>
      <c r="ACV25" s="762">
        <v>42018</v>
      </c>
      <c r="ACW25" s="762">
        <v>1200</v>
      </c>
      <c r="ACX25" s="762">
        <v>17649547</v>
      </c>
      <c r="ACY25" s="762">
        <v>20017144</v>
      </c>
      <c r="ACZ25" s="614">
        <v>1193191</v>
      </c>
      <c r="ADA25" s="614">
        <v>91746</v>
      </c>
      <c r="ADB25" s="614">
        <v>473646</v>
      </c>
      <c r="ADC25" s="614">
        <v>930592</v>
      </c>
      <c r="ADD25" s="614">
        <v>3771730482</v>
      </c>
      <c r="ADE25" s="614">
        <v>3489149276</v>
      </c>
      <c r="ADF25" s="614">
        <v>807231605</v>
      </c>
      <c r="ADG25" s="614">
        <v>1027385099</v>
      </c>
      <c r="ADH25" s="614">
        <v>20753524</v>
      </c>
      <c r="ADI25" s="614">
        <v>20753524</v>
      </c>
      <c r="ADJ25" s="614">
        <v>400479000</v>
      </c>
      <c r="ADK25" s="614">
        <v>438691000</v>
      </c>
      <c r="ADL25" s="614">
        <v>0</v>
      </c>
      <c r="ADM25" s="614">
        <v>0</v>
      </c>
      <c r="ADN25" s="614">
        <v>9876000</v>
      </c>
      <c r="ADO25" s="614">
        <v>96387015</v>
      </c>
      <c r="ADP25" s="614">
        <v>1299756397</v>
      </c>
      <c r="ADQ25" s="614">
        <v>942120515</v>
      </c>
      <c r="ADR25" s="614">
        <v>0</v>
      </c>
      <c r="ADS25" s="614">
        <v>0</v>
      </c>
      <c r="ADT25" s="614">
        <v>3403300720</v>
      </c>
      <c r="ADU25" s="614">
        <v>4353119150</v>
      </c>
      <c r="ADV25" s="614">
        <v>2470296977</v>
      </c>
      <c r="ADW25" s="614">
        <v>2823924996</v>
      </c>
      <c r="ADX25" s="614">
        <v>244422429</v>
      </c>
      <c r="ADY25" s="614">
        <v>637023000</v>
      </c>
      <c r="ADZ25" s="614">
        <v>0</v>
      </c>
      <c r="AEA25" s="614">
        <v>0</v>
      </c>
      <c r="AEB25" s="614">
        <v>3635543912</v>
      </c>
      <c r="AEC25" s="614">
        <v>5699535112</v>
      </c>
      <c r="AED25" s="614">
        <v>581274870</v>
      </c>
      <c r="AEE25" s="614">
        <v>4748286629</v>
      </c>
      <c r="AEF25" s="614">
        <v>7416854754</v>
      </c>
      <c r="AEG25" s="614">
        <v>17927407860</v>
      </c>
      <c r="AEH25" s="614">
        <v>28672855</v>
      </c>
      <c r="AEI25" s="614">
        <v>38987837</v>
      </c>
      <c r="AEJ25" s="614">
        <v>3393782289</v>
      </c>
      <c r="AEK25" s="614">
        <v>5644848682</v>
      </c>
      <c r="AEL25" s="614">
        <v>6875595033</v>
      </c>
      <c r="AEM25" s="614">
        <v>7784414813</v>
      </c>
      <c r="AEN25" s="614">
        <v>3851838</v>
      </c>
      <c r="AEO25" s="614">
        <v>7387006</v>
      </c>
      <c r="AEP25" s="614">
        <v>122812495664</v>
      </c>
      <c r="AEQ25" s="614">
        <v>199477810312</v>
      </c>
      <c r="AER25" s="614">
        <v>0</v>
      </c>
      <c r="AES25" s="614">
        <v>0</v>
      </c>
      <c r="AET25" s="614">
        <v>0</v>
      </c>
      <c r="AEU25" s="614">
        <v>0</v>
      </c>
      <c r="AEV25" s="614">
        <v>76416000</v>
      </c>
      <c r="AEW25" s="614">
        <v>97726000</v>
      </c>
      <c r="AEX25" s="614">
        <v>2693358196.5899997</v>
      </c>
      <c r="AEY25" s="614">
        <v>2291315513.4200001</v>
      </c>
      <c r="AEZ25" s="614">
        <v>0</v>
      </c>
      <c r="AFA25" s="614">
        <v>0</v>
      </c>
      <c r="AFB25" s="614">
        <v>10925571719</v>
      </c>
      <c r="AFC25" s="614">
        <v>16911509905</v>
      </c>
      <c r="AFD25" s="614">
        <v>1760884413</v>
      </c>
      <c r="AFE25" s="614">
        <v>3762761721</v>
      </c>
      <c r="AFF25" s="614">
        <v>4336630012</v>
      </c>
      <c r="AFG25" s="614">
        <v>4693792838</v>
      </c>
      <c r="AFH25" s="614">
        <v>6525068468</v>
      </c>
      <c r="AFI25" s="614">
        <v>8878093334</v>
      </c>
      <c r="AFJ25" s="614">
        <v>16495694605</v>
      </c>
      <c r="AFK25" s="614">
        <v>21840454397</v>
      </c>
      <c r="AFL25" s="614">
        <v>218651</v>
      </c>
      <c r="AFM25" s="614">
        <v>614591</v>
      </c>
      <c r="AFN25" s="614">
        <v>27342241</v>
      </c>
      <c r="AFO25" s="614">
        <v>54574319</v>
      </c>
      <c r="AFP25" s="614">
        <v>15093747901</v>
      </c>
      <c r="AFQ25" s="614">
        <v>12376132897</v>
      </c>
      <c r="AFR25" s="614">
        <v>157584165</v>
      </c>
      <c r="AFS25" s="614">
        <v>303818379</v>
      </c>
      <c r="AFT25" s="614">
        <v>2682704000</v>
      </c>
      <c r="AFU25" s="614">
        <v>10589951513</v>
      </c>
      <c r="AFV25" s="614">
        <v>0</v>
      </c>
      <c r="AFW25" s="614">
        <v>374234000</v>
      </c>
      <c r="AFX25" s="614">
        <v>56548785981</v>
      </c>
      <c r="AFY25" s="614">
        <v>60457992347</v>
      </c>
      <c r="AFZ25" s="774">
        <v>4303534407</v>
      </c>
      <c r="AGA25" s="774">
        <v>5630669968</v>
      </c>
      <c r="AGB25" s="774">
        <v>16911509905</v>
      </c>
      <c r="AGC25" s="774">
        <v>10302571197</v>
      </c>
      <c r="AGD25" s="774">
        <v>5644848682</v>
      </c>
      <c r="AGE25" s="774">
        <v>10135787617</v>
      </c>
      <c r="AGF25" s="774">
        <v>6812919412</v>
      </c>
      <c r="AGG25" s="774">
        <v>5180047529</v>
      </c>
      <c r="AGH25" s="774">
        <v>1024945617</v>
      </c>
      <c r="AGI25" s="774">
        <v>1261647730</v>
      </c>
      <c r="AGJ25" s="774">
        <v>83005374</v>
      </c>
      <c r="AGK25" s="774">
        <v>83817197</v>
      </c>
      <c r="AGL25" s="774">
        <v>5699535112</v>
      </c>
      <c r="AGM25" s="774">
        <v>4907999003</v>
      </c>
      <c r="AGN25" s="774">
        <v>202799200967</v>
      </c>
      <c r="AGO25" s="774">
        <v>229318888540</v>
      </c>
      <c r="AGP25" s="774">
        <v>6812919412</v>
      </c>
      <c r="AGQ25" s="774">
        <v>5180047529</v>
      </c>
      <c r="AGR25" s="774">
        <v>7387006000</v>
      </c>
      <c r="AGS25" s="774">
        <v>4975300895</v>
      </c>
      <c r="AGT25" s="774">
        <v>614591000</v>
      </c>
      <c r="AGU25" s="774">
        <v>716583000</v>
      </c>
      <c r="AGV25" s="774">
        <v>9244163583</v>
      </c>
      <c r="AGW25" s="774">
        <v>18225212918</v>
      </c>
      <c r="AGX25" s="605" t="s">
        <v>224</v>
      </c>
      <c r="AGY25" s="605" t="s">
        <v>224</v>
      </c>
      <c r="AGZ25" s="774">
        <v>7321067497</v>
      </c>
      <c r="AHA25" s="774">
        <v>5717955622</v>
      </c>
      <c r="AHB25" s="774">
        <v>1926360310</v>
      </c>
      <c r="AHC25" s="774">
        <v>1529333593</v>
      </c>
      <c r="AHD25" s="774">
        <v>7727855684</v>
      </c>
      <c r="AHE25" s="774">
        <v>10125366525</v>
      </c>
      <c r="AHF25" s="774">
        <v>49613218000</v>
      </c>
      <c r="AHG25" s="774">
        <v>59300297000</v>
      </c>
      <c r="AHH25" s="774">
        <v>17903853860</v>
      </c>
      <c r="AHI25" s="774">
        <v>20737371638</v>
      </c>
      <c r="AHJ25" s="774">
        <v>637023000</v>
      </c>
      <c r="AHK25" s="774">
        <v>555924000</v>
      </c>
      <c r="AHL25" s="774">
        <v>5017142000</v>
      </c>
      <c r="AHM25" s="774">
        <v>9260142000</v>
      </c>
      <c r="AHN25" s="774">
        <v>10499917994</v>
      </c>
      <c r="AHO25" s="774">
        <v>7374326746</v>
      </c>
      <c r="AHP25" s="774">
        <v>1373912000</v>
      </c>
      <c r="AHQ25" s="774">
        <v>1182989017</v>
      </c>
      <c r="AHR25" s="774">
        <v>4290270000</v>
      </c>
      <c r="AHS25" s="774">
        <v>3384193526</v>
      </c>
      <c r="AHT25" s="774">
        <v>2823924986</v>
      </c>
      <c r="AHU25" s="774">
        <v>3130170722</v>
      </c>
      <c r="AHV25" s="774">
        <v>438691000</v>
      </c>
      <c r="AHW25" s="774">
        <v>401585000</v>
      </c>
      <c r="AHX25" s="774">
        <v>4297834120</v>
      </c>
      <c r="AHY25" s="774">
        <v>4342288061</v>
      </c>
      <c r="AHZ25" s="774">
        <v>6287952172</v>
      </c>
      <c r="AIA25" s="774">
        <v>10450142626</v>
      </c>
      <c r="AIB25" s="774">
        <v>596687155</v>
      </c>
      <c r="AIC25" s="774">
        <v>502959173</v>
      </c>
      <c r="AID25" s="774">
        <v>46715000000</v>
      </c>
      <c r="AIE25" s="774">
        <v>47947000000</v>
      </c>
      <c r="AIF25" s="774">
        <v>2601275000</v>
      </c>
      <c r="AIG25" s="774">
        <v>3971743000</v>
      </c>
      <c r="AIH25" s="605" t="s">
        <v>224</v>
      </c>
      <c r="AII25" s="774">
        <v>424778745</v>
      </c>
      <c r="AIJ25" s="774">
        <v>456502482359</v>
      </c>
      <c r="AIK25" s="774">
        <v>722222049275</v>
      </c>
      <c r="AIL25" s="774">
        <v>6737495641</v>
      </c>
      <c r="AIM25" s="774">
        <v>10266728576</v>
      </c>
      <c r="AIN25" s="605" t="s">
        <v>224</v>
      </c>
      <c r="AIO25" s="774">
        <v>668652</v>
      </c>
      <c r="AIP25" s="605" t="s">
        <v>224</v>
      </c>
      <c r="AIQ25" s="774">
        <v>50010794</v>
      </c>
      <c r="AIR25" s="774">
        <v>59742215000</v>
      </c>
      <c r="AIS25" s="774">
        <v>53078783000</v>
      </c>
      <c r="AIT25" s="774">
        <v>942120515</v>
      </c>
      <c r="AIU25" s="774">
        <v>1117318423</v>
      </c>
      <c r="AIV25" s="774">
        <v>3853707054</v>
      </c>
      <c r="AIW25" s="774">
        <v>4752387488</v>
      </c>
      <c r="AIX25" s="774">
        <v>1012701</v>
      </c>
      <c r="AIY25" s="774">
        <v>1404754</v>
      </c>
      <c r="AIZ25" s="774">
        <v>5283263902</v>
      </c>
      <c r="AJA25" s="774">
        <v>6266130285</v>
      </c>
      <c r="AJB25" s="774">
        <v>38987837000</v>
      </c>
      <c r="AJC25" s="774">
        <v>33841112000</v>
      </c>
      <c r="AJD25" s="774">
        <v>77111000</v>
      </c>
      <c r="AJE25" s="774">
        <v>44548000</v>
      </c>
      <c r="AJF25" s="774">
        <v>46715000000</v>
      </c>
      <c r="AJG25" s="774">
        <v>47947000000</v>
      </c>
      <c r="AJH25" s="774">
        <v>2255538791</v>
      </c>
      <c r="AJI25" s="774">
        <v>4115673764</v>
      </c>
      <c r="AJJ25" s="774">
        <v>12376132897</v>
      </c>
      <c r="AJK25" s="774">
        <v>11251790447</v>
      </c>
      <c r="AJL25" s="774">
        <v>2233205806</v>
      </c>
      <c r="AJM25" s="774">
        <v>2022788105</v>
      </c>
      <c r="AJN25" s="774">
        <v>303818379</v>
      </c>
      <c r="AJO25" s="774">
        <v>8046454685</v>
      </c>
    </row>
    <row r="26" spans="1:951" x14ac:dyDescent="0.25">
      <c r="A26" s="91" t="s">
        <v>30</v>
      </c>
      <c r="B26" s="96">
        <v>0</v>
      </c>
      <c r="C26" s="96">
        <v>169007.00200000001</v>
      </c>
      <c r="D26" s="96">
        <v>204485.28400000001</v>
      </c>
      <c r="E26" s="96">
        <v>10906</v>
      </c>
      <c r="F26" s="96">
        <v>224900</v>
      </c>
      <c r="G26" s="96">
        <v>42966</v>
      </c>
      <c r="H26" s="96">
        <v>129321</v>
      </c>
      <c r="I26" s="96">
        <v>38584.196000000004</v>
      </c>
      <c r="J26" s="96">
        <v>25006</v>
      </c>
      <c r="K26" s="96"/>
      <c r="L26" s="96">
        <v>67403.442999999999</v>
      </c>
      <c r="M26" s="96">
        <v>67785.716</v>
      </c>
      <c r="N26" s="96">
        <v>130250.249</v>
      </c>
      <c r="O26" s="96">
        <v>122143</v>
      </c>
      <c r="P26" s="96">
        <v>901125</v>
      </c>
      <c r="Q26" s="96">
        <v>0</v>
      </c>
      <c r="R26" s="96">
        <v>25022.34</v>
      </c>
      <c r="S26" s="96">
        <v>71570</v>
      </c>
      <c r="T26" s="96">
        <v>15185</v>
      </c>
      <c r="U26" s="96">
        <v>50489</v>
      </c>
      <c r="V26" s="96">
        <v>0</v>
      </c>
      <c r="W26" s="96">
        <v>0</v>
      </c>
      <c r="X26" s="96">
        <v>7515</v>
      </c>
      <c r="Y26" s="96"/>
      <c r="Z26" s="96">
        <v>48560</v>
      </c>
      <c r="AA26" s="96">
        <v>0</v>
      </c>
      <c r="AB26" s="96">
        <v>3641.5789999999997</v>
      </c>
      <c r="AC26" s="96">
        <v>7631.973</v>
      </c>
      <c r="AD26" s="96">
        <v>15386</v>
      </c>
      <c r="AE26" s="96">
        <v>16110</v>
      </c>
      <c r="AF26" s="96">
        <v>23755</v>
      </c>
      <c r="AG26" s="96">
        <v>1424.933</v>
      </c>
      <c r="AH26" s="96">
        <v>36698.979999999996</v>
      </c>
      <c r="AI26" s="96">
        <v>30624</v>
      </c>
      <c r="AJ26" s="96">
        <v>24455</v>
      </c>
      <c r="AK26" s="96">
        <v>0</v>
      </c>
      <c r="AL26" s="96">
        <v>6137.7510000000002</v>
      </c>
      <c r="AM26" s="96">
        <v>6326.6239999999998</v>
      </c>
      <c r="AN26" s="96">
        <v>61197</v>
      </c>
      <c r="AO26" s="96">
        <v>83003</v>
      </c>
      <c r="AP26" s="96">
        <v>0</v>
      </c>
      <c r="AQ26" s="96">
        <v>305</v>
      </c>
      <c r="AR26" s="96">
        <v>175</v>
      </c>
      <c r="AS26" s="96">
        <v>2791</v>
      </c>
      <c r="AT26" s="96">
        <v>839</v>
      </c>
      <c r="AU26" s="96">
        <v>2727</v>
      </c>
      <c r="AV26" s="96">
        <v>5759</v>
      </c>
      <c r="AW26" s="96">
        <v>6813</v>
      </c>
      <c r="AX26" s="96">
        <v>12504</v>
      </c>
      <c r="AY26" s="96"/>
      <c r="AZ26" s="96">
        <v>137</v>
      </c>
      <c r="BA26" s="96">
        <v>-19108</v>
      </c>
      <c r="BB26" s="96">
        <v>28139.467000000001</v>
      </c>
      <c r="BC26" s="96">
        <v>279426</v>
      </c>
      <c r="BD26" s="96">
        <v>30565</v>
      </c>
      <c r="BE26" s="96">
        <v>0</v>
      </c>
      <c r="BF26" s="96">
        <v>56909.646000000001</v>
      </c>
      <c r="BG26" s="96">
        <v>63388.52</v>
      </c>
      <c r="BH26" s="96">
        <v>60157</v>
      </c>
      <c r="BI26" s="96">
        <v>129758</v>
      </c>
      <c r="BJ26" s="96"/>
      <c r="BK26" s="96"/>
      <c r="BL26" s="96"/>
      <c r="BM26" s="96"/>
      <c r="BN26" s="96">
        <v>48393</v>
      </c>
      <c r="BO26" s="96"/>
      <c r="BP26" s="96"/>
      <c r="BQ26" s="96">
        <v>3151</v>
      </c>
      <c r="BR26" s="96">
        <v>2916</v>
      </c>
      <c r="BS26" s="96">
        <v>25795</v>
      </c>
      <c r="BT26" s="96">
        <v>2855.297</v>
      </c>
      <c r="BU26" s="96">
        <v>12063.409</v>
      </c>
      <c r="BV26" s="96">
        <v>5653</v>
      </c>
      <c r="BW26" s="96">
        <v>54457</v>
      </c>
      <c r="BX26" s="96">
        <v>10497</v>
      </c>
      <c r="BY26" s="96">
        <v>0</v>
      </c>
      <c r="BZ26" s="96">
        <v>332923.50599999999</v>
      </c>
      <c r="CA26" s="96">
        <v>91165.593999999997</v>
      </c>
      <c r="CB26" s="96">
        <v>164663</v>
      </c>
      <c r="CC26" s="96">
        <v>270165</v>
      </c>
      <c r="CD26" s="96">
        <v>2001.0309999999999</v>
      </c>
      <c r="CE26" s="96">
        <v>80842.875</v>
      </c>
      <c r="CF26" s="96">
        <v>4.7590000000000003</v>
      </c>
      <c r="CG26" s="96">
        <v>2100</v>
      </c>
      <c r="CH26" s="96">
        <v>144</v>
      </c>
      <c r="CI26" s="96">
        <v>0</v>
      </c>
      <c r="CJ26" s="96">
        <v>0</v>
      </c>
      <c r="CK26" s="96">
        <v>1307.569</v>
      </c>
      <c r="CL26" s="96">
        <v>660872</v>
      </c>
      <c r="CM26" s="96"/>
      <c r="CN26" s="96">
        <v>0</v>
      </c>
      <c r="CO26" s="96">
        <v>0</v>
      </c>
      <c r="CP26" s="96">
        <v>0</v>
      </c>
      <c r="CQ26" s="96">
        <v>18940</v>
      </c>
      <c r="CR26" s="96">
        <v>40042</v>
      </c>
      <c r="CS26" s="96">
        <v>0</v>
      </c>
      <c r="CT26" s="96">
        <v>380</v>
      </c>
      <c r="CU26" s="96">
        <v>53</v>
      </c>
      <c r="CV26" s="96">
        <v>0</v>
      </c>
      <c r="CW26" s="96">
        <v>7421</v>
      </c>
      <c r="CX26" s="96">
        <v>0</v>
      </c>
      <c r="CY26" s="96">
        <v>0</v>
      </c>
      <c r="CZ26" s="96">
        <v>1657</v>
      </c>
      <c r="DA26" s="96"/>
      <c r="DB26" s="96"/>
      <c r="DC26" s="96">
        <v>12009</v>
      </c>
      <c r="DD26" s="96"/>
      <c r="DE26" s="96">
        <v>0</v>
      </c>
      <c r="DF26" s="96">
        <v>29944</v>
      </c>
      <c r="DG26" s="96"/>
      <c r="DH26" s="96">
        <v>0</v>
      </c>
      <c r="DI26" s="96">
        <v>0</v>
      </c>
      <c r="DJ26" s="96"/>
      <c r="DK26" s="96"/>
      <c r="DL26" s="96">
        <v>324</v>
      </c>
      <c r="DM26" s="102">
        <v>1992113</v>
      </c>
      <c r="DN26" s="96">
        <v>1126684</v>
      </c>
      <c r="DO26" s="96">
        <v>433903</v>
      </c>
      <c r="DP26" s="96">
        <v>737002</v>
      </c>
      <c r="DQ26" s="96">
        <v>426718</v>
      </c>
      <c r="DR26" s="96">
        <v>9122993.4279999994</v>
      </c>
      <c r="DS26" s="96">
        <v>6781514.8509999998</v>
      </c>
      <c r="DT26" s="96">
        <v>15525733.088</v>
      </c>
      <c r="DU26" s="96">
        <v>31436488</v>
      </c>
      <c r="DV26" s="96">
        <v>34253116</v>
      </c>
      <c r="DW26" s="96">
        <v>49259.900999999998</v>
      </c>
      <c r="DX26" s="96">
        <v>51318</v>
      </c>
      <c r="DY26" s="96">
        <v>7251.8389999999999</v>
      </c>
      <c r="DZ26" s="96">
        <v>24823</v>
      </c>
      <c r="EA26" s="96">
        <v>28873</v>
      </c>
      <c r="EB26" s="96"/>
      <c r="EC26" s="96"/>
      <c r="ED26" s="96"/>
      <c r="EE26" s="96"/>
      <c r="EF26" s="96">
        <v>3564</v>
      </c>
      <c r="EG26" s="96"/>
      <c r="EH26" s="96"/>
      <c r="EI26" s="96"/>
      <c r="EJ26" s="96">
        <v>373202</v>
      </c>
      <c r="EK26" s="96">
        <v>58906</v>
      </c>
      <c r="EL26" s="96"/>
      <c r="EM26" s="96"/>
      <c r="EN26" s="96"/>
      <c r="EO26" s="96">
        <v>6022</v>
      </c>
      <c r="EP26" s="96">
        <v>39925</v>
      </c>
      <c r="EQ26" s="96"/>
      <c r="ER26" s="96"/>
      <c r="ES26" s="96"/>
      <c r="ET26" s="96"/>
      <c r="EU26" s="96">
        <v>31829</v>
      </c>
      <c r="EV26" s="96">
        <v>21567</v>
      </c>
      <c r="EW26" s="96">
        <v>53088</v>
      </c>
      <c r="EX26" s="96">
        <v>901125</v>
      </c>
      <c r="EY26" s="96">
        <v>96098</v>
      </c>
      <c r="EZ26" s="96">
        <v>50489</v>
      </c>
      <c r="FA26" s="96">
        <v>24306</v>
      </c>
      <c r="FB26" s="96">
        <v>16110</v>
      </c>
      <c r="FC26" s="96">
        <v>65664</v>
      </c>
      <c r="FD26" s="96">
        <v>24455</v>
      </c>
      <c r="FE26" s="96">
        <v>10263</v>
      </c>
      <c r="FF26" s="96">
        <v>83003</v>
      </c>
      <c r="FG26" s="96">
        <v>29773</v>
      </c>
      <c r="FH26" s="96">
        <v>839</v>
      </c>
      <c r="FI26" s="96"/>
      <c r="FJ26" s="96"/>
      <c r="FK26" s="96"/>
      <c r="FL26" s="96"/>
      <c r="FM26" s="96">
        <v>6920</v>
      </c>
      <c r="FN26" s="96">
        <v>25795</v>
      </c>
      <c r="FO26" s="96">
        <v>41566</v>
      </c>
      <c r="FP26" s="96">
        <v>129758</v>
      </c>
      <c r="FQ26" s="96">
        <v>145975</v>
      </c>
      <c r="FR26" s="96">
        <v>10497</v>
      </c>
      <c r="FS26" s="96"/>
      <c r="FT26" s="96">
        <v>30565</v>
      </c>
      <c r="FU26" s="96">
        <v>21195</v>
      </c>
      <c r="FV26" s="96">
        <v>270165</v>
      </c>
      <c r="FW26" s="96"/>
      <c r="FX26" s="96">
        <v>3564</v>
      </c>
      <c r="FY26" s="96"/>
      <c r="FZ26" s="96">
        <v>48560</v>
      </c>
      <c r="GA26" s="96">
        <v>11915</v>
      </c>
      <c r="GB26" s="96">
        <v>48393</v>
      </c>
      <c r="GC26" s="96">
        <v>28985</v>
      </c>
      <c r="GD26" s="96">
        <v>144</v>
      </c>
      <c r="GE26" s="96"/>
      <c r="GF26" s="96"/>
      <c r="GG26" s="96"/>
      <c r="GH26" s="96">
        <v>40042</v>
      </c>
      <c r="GI26" s="96">
        <v>113112</v>
      </c>
      <c r="GJ26" s="96"/>
      <c r="GK26" s="96">
        <v>0</v>
      </c>
      <c r="GL26" s="96">
        <v>551055</v>
      </c>
      <c r="GM26" s="96">
        <v>498626</v>
      </c>
      <c r="GN26" s="96">
        <v>158530</v>
      </c>
      <c r="GO26" s="96">
        <v>217866</v>
      </c>
      <c r="GP26" s="96">
        <v>14291</v>
      </c>
      <c r="GQ26" s="96">
        <v>43921</v>
      </c>
      <c r="GR26" s="96"/>
      <c r="GS26" s="96"/>
      <c r="GT26" s="96">
        <v>122354</v>
      </c>
      <c r="GU26" s="96">
        <v>104695</v>
      </c>
      <c r="GV26" s="96"/>
      <c r="GW26" s="96"/>
      <c r="GX26" s="96">
        <v>76334</v>
      </c>
      <c r="GY26" s="96">
        <v>6032</v>
      </c>
      <c r="GZ26" s="96">
        <v>4871913</v>
      </c>
      <c r="HA26" s="96">
        <v>26424138</v>
      </c>
      <c r="HB26" s="96">
        <v>242221</v>
      </c>
      <c r="HC26" s="96">
        <v>307805</v>
      </c>
      <c r="HD26" s="96">
        <v>32806</v>
      </c>
      <c r="HE26" s="96"/>
      <c r="HF26" s="96">
        <v>318065</v>
      </c>
      <c r="HG26" s="96">
        <v>2118563</v>
      </c>
      <c r="HH26" s="96">
        <v>1263511</v>
      </c>
      <c r="HI26" s="96">
        <v>1526761</v>
      </c>
      <c r="HJ26" s="96"/>
      <c r="HK26" s="96"/>
      <c r="HL26" s="96">
        <v>1470999</v>
      </c>
      <c r="HM26" s="96">
        <v>1968079</v>
      </c>
      <c r="HN26" s="96">
        <v>22079</v>
      </c>
      <c r="HO26" s="96"/>
      <c r="HP26" s="96">
        <v>12423</v>
      </c>
      <c r="HQ26" s="96">
        <v>20817</v>
      </c>
      <c r="HR26" s="96">
        <v>144595</v>
      </c>
      <c r="HS26" s="96">
        <v>378555</v>
      </c>
      <c r="HT26" s="96">
        <v>58906</v>
      </c>
      <c r="HU26" s="96"/>
      <c r="HV26" s="96">
        <v>39925</v>
      </c>
      <c r="HW26" s="96">
        <v>10721</v>
      </c>
      <c r="HX26" s="96">
        <v>383830</v>
      </c>
      <c r="HY26" s="96">
        <v>431625</v>
      </c>
      <c r="HZ26" s="96">
        <v>3388771</v>
      </c>
      <c r="IA26" s="96">
        <v>184880</v>
      </c>
      <c r="IB26" s="96">
        <v>38445</v>
      </c>
      <c r="IC26" s="96">
        <v>65932</v>
      </c>
      <c r="ID26" s="96">
        <v>1427504</v>
      </c>
      <c r="IE26" s="96">
        <v>1806396</v>
      </c>
      <c r="IF26" s="96">
        <v>564427</v>
      </c>
      <c r="IG26" s="96">
        <v>743092</v>
      </c>
      <c r="IH26" s="96">
        <v>991</v>
      </c>
      <c r="II26" s="96"/>
      <c r="IJ26" s="96">
        <v>361410</v>
      </c>
      <c r="IK26" s="96">
        <v>480733</v>
      </c>
      <c r="IL26" s="96">
        <v>31829</v>
      </c>
      <c r="IM26" s="96">
        <v>55723</v>
      </c>
      <c r="IN26" s="96"/>
      <c r="IO26" s="96"/>
      <c r="IP26" s="96"/>
      <c r="IQ26" s="96">
        <v>0</v>
      </c>
      <c r="IR26" s="96"/>
      <c r="IS26" s="96">
        <v>10171</v>
      </c>
      <c r="IT26" s="96">
        <v>324</v>
      </c>
      <c r="IU26" s="96">
        <v>2552</v>
      </c>
      <c r="IV26" s="96">
        <v>426718</v>
      </c>
      <c r="IW26" s="96">
        <v>426717</v>
      </c>
      <c r="IX26" s="96">
        <v>34253116</v>
      </c>
      <c r="IY26" s="96">
        <v>31847185</v>
      </c>
      <c r="IZ26" s="96">
        <v>28873</v>
      </c>
      <c r="JA26" s="96">
        <v>10926</v>
      </c>
      <c r="JB26" s="96">
        <v>53088</v>
      </c>
      <c r="JC26" s="96">
        <v>56104</v>
      </c>
      <c r="JD26" s="96">
        <v>96098</v>
      </c>
      <c r="JE26" s="96">
        <v>191782</v>
      </c>
      <c r="JF26" s="96">
        <v>24306</v>
      </c>
      <c r="JG26" s="96">
        <v>151544</v>
      </c>
      <c r="JH26" s="96">
        <v>65664</v>
      </c>
      <c r="JI26" s="96">
        <v>21648</v>
      </c>
      <c r="JJ26" s="96">
        <v>10263</v>
      </c>
      <c r="JK26" s="96">
        <v>7848</v>
      </c>
      <c r="JL26" s="96">
        <v>29773</v>
      </c>
      <c r="JM26" s="96">
        <v>12452</v>
      </c>
      <c r="JN26" s="96">
        <v>746</v>
      </c>
      <c r="JO26" s="96"/>
      <c r="JP26" s="96"/>
      <c r="JQ26" s="96"/>
      <c r="JR26" s="96">
        <v>6920</v>
      </c>
      <c r="JS26" s="96">
        <v>4488</v>
      </c>
      <c r="JT26" s="96">
        <v>41566</v>
      </c>
      <c r="JU26" s="96">
        <v>37821</v>
      </c>
      <c r="JV26" s="96">
        <v>145975</v>
      </c>
      <c r="JW26" s="96">
        <v>158875</v>
      </c>
      <c r="JX26" s="96"/>
      <c r="JY26" s="96"/>
      <c r="JZ26" s="96">
        <v>21195</v>
      </c>
      <c r="KA26" s="96">
        <v>4279</v>
      </c>
      <c r="KB26" s="96"/>
      <c r="KC26" s="96">
        <v>187652</v>
      </c>
      <c r="KD26" s="96"/>
      <c r="KE26" s="96"/>
      <c r="KF26" s="96">
        <v>11915</v>
      </c>
      <c r="KG26" s="96"/>
      <c r="KH26" s="96">
        <v>28985</v>
      </c>
      <c r="KI26" s="96"/>
      <c r="KJ26" s="96"/>
      <c r="KK26" s="96">
        <v>14</v>
      </c>
      <c r="KL26" s="96">
        <v>29429</v>
      </c>
      <c r="KM26" s="96"/>
      <c r="KN26" s="96">
        <v>113112</v>
      </c>
      <c r="KO26" s="96">
        <v>20812</v>
      </c>
      <c r="KP26" s="96">
        <v>0</v>
      </c>
      <c r="KQ26" s="96">
        <v>0</v>
      </c>
      <c r="KR26" s="96">
        <v>498626</v>
      </c>
      <c r="KS26" s="96">
        <v>578798</v>
      </c>
      <c r="KT26" s="96">
        <v>217866</v>
      </c>
      <c r="KU26" s="96"/>
      <c r="KV26" s="96"/>
      <c r="KW26" s="96"/>
      <c r="KX26" s="96"/>
      <c r="KY26" s="96"/>
      <c r="KZ26" s="96">
        <v>104695</v>
      </c>
      <c r="LA26" s="96">
        <v>97142</v>
      </c>
      <c r="LB26" s="96"/>
      <c r="LC26" s="96"/>
      <c r="LD26" s="96">
        <v>6032</v>
      </c>
      <c r="LE26" s="96">
        <v>42095</v>
      </c>
      <c r="LF26" s="96">
        <v>26424138</v>
      </c>
      <c r="LG26" s="96">
        <v>5284890</v>
      </c>
      <c r="LH26" s="96">
        <v>307805</v>
      </c>
      <c r="LI26" s="96">
        <v>191431</v>
      </c>
      <c r="LJ26" s="96"/>
      <c r="LK26" s="96"/>
      <c r="LL26" s="96">
        <v>2118563</v>
      </c>
      <c r="LM26" s="96">
        <v>209320</v>
      </c>
      <c r="LN26" s="96">
        <v>1526761</v>
      </c>
      <c r="LO26" s="96">
        <v>2086392</v>
      </c>
      <c r="LP26" s="96"/>
      <c r="LQ26" s="96"/>
      <c r="LR26" s="96">
        <v>1968079</v>
      </c>
      <c r="LS26" s="96">
        <v>10361000</v>
      </c>
      <c r="LT26" s="96"/>
      <c r="LU26" s="96">
        <v>10739</v>
      </c>
      <c r="LV26" s="96">
        <v>20817</v>
      </c>
      <c r="LW26" s="96">
        <v>52938</v>
      </c>
      <c r="LX26" s="96">
        <v>378555</v>
      </c>
      <c r="LY26" s="96">
        <v>647948</v>
      </c>
      <c r="LZ26" s="96"/>
      <c r="MA26" s="96"/>
      <c r="MB26" s="96">
        <v>10721</v>
      </c>
      <c r="MC26" s="96">
        <v>3492</v>
      </c>
      <c r="MD26" s="96">
        <v>431625</v>
      </c>
      <c r="ME26" s="96">
        <v>550492</v>
      </c>
      <c r="MF26" s="96">
        <v>184880</v>
      </c>
      <c r="MG26" s="96">
        <v>706711</v>
      </c>
      <c r="MH26" s="96">
        <v>65932</v>
      </c>
      <c r="MI26" s="96">
        <v>61381</v>
      </c>
      <c r="MJ26" s="96">
        <v>1806396</v>
      </c>
      <c r="MK26" s="96">
        <v>2548957</v>
      </c>
      <c r="ML26" s="96">
        <v>743092</v>
      </c>
      <c r="MM26" s="96">
        <v>993491</v>
      </c>
      <c r="MN26" s="96"/>
      <c r="MO26" s="96"/>
      <c r="MP26" s="96">
        <v>480733</v>
      </c>
      <c r="MQ26" s="96">
        <v>732196</v>
      </c>
      <c r="MR26" s="96">
        <v>55723</v>
      </c>
      <c r="MS26" s="96">
        <v>97259</v>
      </c>
      <c r="MT26" s="96">
        <v>3021</v>
      </c>
      <c r="MU26" s="96">
        <v>3021</v>
      </c>
      <c r="MV26" s="96">
        <v>0</v>
      </c>
      <c r="MW26" s="96">
        <v>0</v>
      </c>
      <c r="MX26" s="96">
        <v>10171</v>
      </c>
      <c r="MY26" s="96">
        <v>172613</v>
      </c>
      <c r="MZ26" s="96">
        <v>2552</v>
      </c>
      <c r="NA26" s="96">
        <v>6607</v>
      </c>
      <c r="NB26" s="96">
        <v>426717</v>
      </c>
      <c r="NC26" s="96">
        <v>118018</v>
      </c>
      <c r="ND26" s="96">
        <v>31847185</v>
      </c>
      <c r="NE26" s="96">
        <v>45279637</v>
      </c>
      <c r="NF26" s="96">
        <v>10926</v>
      </c>
      <c r="NG26" s="96">
        <v>19169</v>
      </c>
      <c r="NH26" s="394">
        <v>56104</v>
      </c>
      <c r="NI26" s="394">
        <f>29890</f>
        <v>29890</v>
      </c>
      <c r="NJ26" s="394">
        <v>719069</v>
      </c>
      <c r="NK26" s="394">
        <v>450416</v>
      </c>
      <c r="NL26" s="394">
        <v>151544</v>
      </c>
      <c r="NM26" s="394">
        <f>282808+112637</f>
        <v>395445</v>
      </c>
      <c r="NN26" s="394">
        <v>21648</v>
      </c>
      <c r="NO26" s="394">
        <v>124889</v>
      </c>
      <c r="NP26" s="394">
        <v>7848</v>
      </c>
      <c r="NQ26" s="394">
        <v>17495</v>
      </c>
      <c r="NR26" s="394">
        <v>12452</v>
      </c>
      <c r="NS26" s="394">
        <f>662+10724</f>
        <v>11386</v>
      </c>
      <c r="NT26" s="394">
        <v>746</v>
      </c>
      <c r="NU26" s="394"/>
      <c r="NV26" s="394"/>
      <c r="NW26" s="394"/>
      <c r="NX26" s="394">
        <v>4488</v>
      </c>
      <c r="NY26" s="394">
        <v>3963</v>
      </c>
      <c r="NZ26" s="394">
        <v>37821</v>
      </c>
      <c r="OA26" s="394">
        <v>3282</v>
      </c>
      <c r="OB26" s="394">
        <v>158875</v>
      </c>
      <c r="OC26" s="394">
        <v>94674</v>
      </c>
      <c r="OD26" s="394"/>
      <c r="OE26" s="394"/>
      <c r="OF26" s="394">
        <v>4279</v>
      </c>
      <c r="OG26" s="394">
        <v>3502</v>
      </c>
      <c r="OH26" s="394">
        <v>187652</v>
      </c>
      <c r="OI26" s="394">
        <v>163090</v>
      </c>
      <c r="OJ26" s="394"/>
      <c r="OK26" s="394"/>
      <c r="OL26" s="394"/>
      <c r="OM26" s="394">
        <v>51223</v>
      </c>
      <c r="ON26" s="394"/>
      <c r="OO26" s="394">
        <f>2048+2139</f>
        <v>4187</v>
      </c>
      <c r="OP26" s="394">
        <v>14</v>
      </c>
      <c r="OQ26" s="394">
        <v>1839</v>
      </c>
      <c r="OR26" s="394"/>
      <c r="OS26" s="394"/>
      <c r="OT26" s="394">
        <v>20812</v>
      </c>
      <c r="OU26" s="394">
        <v>5057</v>
      </c>
      <c r="OV26" s="394"/>
      <c r="OW26" s="394">
        <v>17933</v>
      </c>
      <c r="OX26" s="394">
        <v>578798</v>
      </c>
      <c r="OY26" s="394">
        <v>1449353</v>
      </c>
      <c r="OZ26" s="394"/>
      <c r="PA26" s="394">
        <v>33890</v>
      </c>
      <c r="PB26" s="394"/>
      <c r="PC26" s="394"/>
      <c r="PD26" s="394"/>
      <c r="PE26" s="394"/>
      <c r="PF26" s="394">
        <v>97142</v>
      </c>
      <c r="PG26" s="394">
        <f>215934+320816</f>
        <v>536750</v>
      </c>
      <c r="PH26" s="394"/>
      <c r="PI26" s="394"/>
      <c r="PJ26" s="394">
        <v>42095</v>
      </c>
      <c r="PK26" s="394">
        <v>42868</v>
      </c>
      <c r="PL26" s="394">
        <v>9442413</v>
      </c>
      <c r="PM26" s="394">
        <f>9638177+2951936</f>
        <v>12590113</v>
      </c>
      <c r="PN26" s="394">
        <v>135720</v>
      </c>
      <c r="PO26" s="394">
        <v>132418</v>
      </c>
      <c r="PP26" s="394"/>
      <c r="PQ26" s="394"/>
      <c r="PR26" s="394">
        <v>209320</v>
      </c>
      <c r="PS26" s="394">
        <f>119463+29775</f>
        <v>149238</v>
      </c>
      <c r="PT26" s="394">
        <v>176593</v>
      </c>
      <c r="PU26" s="394">
        <v>1227262</v>
      </c>
      <c r="PV26" s="394"/>
      <c r="PW26" s="394"/>
      <c r="PX26" s="394">
        <f>451000+1610000+11278000</f>
        <v>13339000</v>
      </c>
      <c r="PY26" s="394">
        <f>701000+1771000+10028000</f>
        <v>12500000</v>
      </c>
      <c r="PZ26" s="394">
        <v>10739</v>
      </c>
      <c r="QA26" s="394"/>
      <c r="QB26" s="394">
        <v>52938</v>
      </c>
      <c r="QC26" s="394">
        <v>67903</v>
      </c>
      <c r="QD26" s="394">
        <v>647948</v>
      </c>
      <c r="QE26" s="394">
        <v>1029019</v>
      </c>
      <c r="QF26" s="394"/>
      <c r="QG26" s="394"/>
      <c r="QH26" s="394">
        <v>3492</v>
      </c>
      <c r="QI26" s="394">
        <v>9677</v>
      </c>
      <c r="QJ26" s="394">
        <v>550492</v>
      </c>
      <c r="QK26" s="394">
        <v>335806</v>
      </c>
      <c r="QL26" s="394">
        <v>706711</v>
      </c>
      <c r="QM26" s="394">
        <v>566143</v>
      </c>
      <c r="QN26" s="394">
        <v>65932</v>
      </c>
      <c r="QO26" s="394">
        <v>61381</v>
      </c>
      <c r="QP26" s="394">
        <v>2548957</v>
      </c>
      <c r="QQ26" s="394">
        <v>4928224</v>
      </c>
      <c r="QR26" s="394">
        <v>993491</v>
      </c>
      <c r="QS26" s="394">
        <v>1953306</v>
      </c>
      <c r="QT26" s="394"/>
      <c r="QU26" s="394">
        <v>13145</v>
      </c>
      <c r="QV26" s="394">
        <v>480733</v>
      </c>
      <c r="QW26" s="394">
        <v>732196</v>
      </c>
      <c r="QX26" s="394">
        <v>88129</v>
      </c>
      <c r="QY26" s="394">
        <v>155909</v>
      </c>
      <c r="QZ26" s="394">
        <v>3021</v>
      </c>
      <c r="RA26" s="394">
        <v>3021</v>
      </c>
      <c r="RB26" s="394">
        <v>0</v>
      </c>
      <c r="RC26" s="394">
        <v>0</v>
      </c>
      <c r="RD26" s="394">
        <v>10171</v>
      </c>
      <c r="RE26" s="394">
        <f>7613+165000</f>
        <v>172613</v>
      </c>
      <c r="RF26" s="394">
        <v>6607</v>
      </c>
      <c r="RG26" s="394"/>
      <c r="RH26" s="394">
        <v>426717</v>
      </c>
      <c r="RI26" s="394">
        <v>118018</v>
      </c>
      <c r="RJ26" s="394">
        <f>39755084+5747303</f>
        <v>45502387</v>
      </c>
      <c r="RK26" s="394">
        <f>65784435+1589787</f>
        <v>67374222</v>
      </c>
      <c r="RL26" s="394">
        <v>19169</v>
      </c>
      <c r="RM26" s="394">
        <v>23764</v>
      </c>
      <c r="RN26" s="455">
        <v>482303</v>
      </c>
      <c r="RO26" s="455">
        <v>448259</v>
      </c>
      <c r="RP26" s="455">
        <v>515494</v>
      </c>
      <c r="RQ26" s="455">
        <v>2010455</v>
      </c>
      <c r="RR26" s="455">
        <v>395445</v>
      </c>
      <c r="RS26" s="455"/>
      <c r="RT26" s="455">
        <v>124890</v>
      </c>
      <c r="RU26" s="455">
        <v>104323</v>
      </c>
      <c r="RV26" s="455">
        <v>17495</v>
      </c>
      <c r="RW26" s="455">
        <v>14074</v>
      </c>
      <c r="RX26" s="455">
        <v>10151</v>
      </c>
      <c r="RY26" s="455">
        <v>1873</v>
      </c>
      <c r="RZ26" s="455"/>
      <c r="SA26" s="455"/>
      <c r="SB26" s="455"/>
      <c r="SC26" s="455"/>
      <c r="SD26" s="455">
        <v>3963</v>
      </c>
      <c r="SE26" s="455">
        <v>6119</v>
      </c>
      <c r="SF26" s="455">
        <v>8294</v>
      </c>
      <c r="SG26" s="455">
        <v>7048</v>
      </c>
      <c r="SH26" s="455">
        <v>94674</v>
      </c>
      <c r="SI26" s="455">
        <v>186183</v>
      </c>
      <c r="SJ26" s="455"/>
      <c r="SK26" s="455"/>
      <c r="SL26" s="455">
        <v>3502</v>
      </c>
      <c r="SM26" s="455">
        <v>9347</v>
      </c>
      <c r="SN26" s="455">
        <v>163090</v>
      </c>
      <c r="SO26" s="455">
        <v>856318</v>
      </c>
      <c r="SP26" s="455"/>
      <c r="SQ26" s="455">
        <v>4988</v>
      </c>
      <c r="SR26" s="455">
        <v>51223</v>
      </c>
      <c r="SS26" s="455">
        <v>61127</v>
      </c>
      <c r="ST26" s="455">
        <v>4187</v>
      </c>
      <c r="SU26" s="455"/>
      <c r="SV26" s="455"/>
      <c r="SW26" s="455"/>
      <c r="SX26" s="455"/>
      <c r="SY26" s="455"/>
      <c r="SZ26" s="455">
        <v>5057</v>
      </c>
      <c r="TA26" s="455">
        <v>39175</v>
      </c>
      <c r="TB26" s="455">
        <v>17933</v>
      </c>
      <c r="TC26" s="455"/>
      <c r="TD26" s="455">
        <v>1420564</v>
      </c>
      <c r="TE26" s="455">
        <v>1479562</v>
      </c>
      <c r="TF26" s="455">
        <v>33888</v>
      </c>
      <c r="TG26" s="455">
        <v>24068</v>
      </c>
      <c r="TH26" s="455"/>
      <c r="TI26" s="455"/>
      <c r="TJ26" s="455"/>
      <c r="TK26" s="455"/>
      <c r="TL26" s="455">
        <v>75163</v>
      </c>
      <c r="TM26" s="455">
        <v>36386</v>
      </c>
      <c r="TN26" s="455"/>
      <c r="TO26" s="455"/>
      <c r="TP26" s="455">
        <v>42867</v>
      </c>
      <c r="TQ26" s="455">
        <v>4063</v>
      </c>
      <c r="TR26" s="455">
        <v>12590113</v>
      </c>
      <c r="TS26" s="455">
        <v>6329747</v>
      </c>
      <c r="TT26" s="455">
        <v>132418</v>
      </c>
      <c r="TU26" s="455">
        <v>177734</v>
      </c>
      <c r="TV26" s="455">
        <v>773873000</v>
      </c>
      <c r="TW26" s="455">
        <v>663602000</v>
      </c>
      <c r="TX26" s="455">
        <v>149238</v>
      </c>
      <c r="TY26" s="455">
        <v>86066</v>
      </c>
      <c r="TZ26" s="455">
        <v>1227262</v>
      </c>
      <c r="UA26" s="455">
        <v>1816489</v>
      </c>
      <c r="UB26" s="455"/>
      <c r="UC26" s="455"/>
      <c r="UD26" s="455">
        <v>12500000</v>
      </c>
      <c r="UE26" s="455">
        <v>9728000</v>
      </c>
      <c r="UF26" s="455"/>
      <c r="UG26" s="455"/>
      <c r="UH26" s="455">
        <v>37803</v>
      </c>
      <c r="UI26" s="455">
        <v>7989</v>
      </c>
      <c r="UJ26" s="455">
        <v>1029019</v>
      </c>
      <c r="UK26" s="455">
        <v>456239</v>
      </c>
      <c r="UL26" s="455"/>
      <c r="UM26" s="455"/>
      <c r="UN26" s="455">
        <v>9677</v>
      </c>
      <c r="UO26" s="455">
        <v>8726</v>
      </c>
      <c r="UP26" s="455">
        <v>240752</v>
      </c>
      <c r="UQ26" s="455">
        <v>46895</v>
      </c>
      <c r="UR26" s="455">
        <v>566143</v>
      </c>
      <c r="US26" s="455">
        <v>785821</v>
      </c>
      <c r="UT26" s="455">
        <v>61381</v>
      </c>
      <c r="UU26" s="455"/>
      <c r="UV26" s="455">
        <v>4928224</v>
      </c>
      <c r="UW26" s="455">
        <v>4022744</v>
      </c>
      <c r="UX26" s="455">
        <v>841234</v>
      </c>
      <c r="UY26" s="455">
        <v>418835</v>
      </c>
      <c r="UZ26" s="455">
        <v>13145</v>
      </c>
      <c r="VA26" s="455"/>
      <c r="VB26" s="455">
        <v>1424887</v>
      </c>
      <c r="VC26" s="455">
        <v>1307383</v>
      </c>
      <c r="VD26" s="455">
        <v>155909</v>
      </c>
      <c r="VE26" s="455">
        <v>296174</v>
      </c>
      <c r="VF26" s="455">
        <v>3021</v>
      </c>
      <c r="VG26" s="455"/>
      <c r="VH26" s="455">
        <v>0</v>
      </c>
      <c r="VI26" s="455"/>
      <c r="VJ26" s="455"/>
      <c r="VK26" s="455"/>
      <c r="VL26" s="455"/>
      <c r="VM26" s="455">
        <v>6674</v>
      </c>
      <c r="VN26" s="455">
        <v>118018</v>
      </c>
      <c r="VO26" s="455"/>
      <c r="VP26" s="455">
        <v>67374222</v>
      </c>
      <c r="VQ26" s="455">
        <v>41706810</v>
      </c>
      <c r="VR26" s="455">
        <v>23764</v>
      </c>
      <c r="VS26" s="455"/>
      <c r="VT26" s="468">
        <v>448259</v>
      </c>
      <c r="VU26" s="468">
        <v>365440</v>
      </c>
      <c r="VV26" s="468">
        <v>1900867</v>
      </c>
      <c r="VW26" s="468">
        <v>425311</v>
      </c>
      <c r="VX26" s="468"/>
      <c r="VY26" s="468">
        <v>19167</v>
      </c>
      <c r="VZ26" s="468">
        <v>104323</v>
      </c>
      <c r="WA26" s="468">
        <v>94310</v>
      </c>
      <c r="WB26" s="468">
        <v>14074</v>
      </c>
      <c r="WC26" s="468">
        <v>5868</v>
      </c>
      <c r="WD26" s="468">
        <v>1873</v>
      </c>
      <c r="WE26" s="468">
        <v>11793</v>
      </c>
      <c r="WF26" s="468"/>
      <c r="WG26" s="468"/>
      <c r="WH26" s="468"/>
      <c r="WI26" s="468"/>
      <c r="WJ26" s="468">
        <v>6119</v>
      </c>
      <c r="WK26" s="468"/>
      <c r="WL26" s="468">
        <v>7048</v>
      </c>
      <c r="WM26" s="468">
        <v>15462</v>
      </c>
      <c r="WN26" s="468">
        <v>186183</v>
      </c>
      <c r="WO26" s="468">
        <v>95373</v>
      </c>
      <c r="WP26" s="468"/>
      <c r="WQ26" s="468"/>
      <c r="WR26" s="468">
        <v>832415</v>
      </c>
      <c r="WS26" s="468">
        <v>1250036</v>
      </c>
      <c r="WT26" s="468">
        <v>856318</v>
      </c>
      <c r="WU26" s="468">
        <v>101016</v>
      </c>
      <c r="WV26" s="468">
        <v>4988</v>
      </c>
      <c r="WW26" s="468"/>
      <c r="WX26" s="468">
        <v>61127</v>
      </c>
      <c r="WY26" s="468">
        <v>25671</v>
      </c>
      <c r="WZ26" s="468"/>
      <c r="XA26" s="468">
        <v>334</v>
      </c>
      <c r="XB26" s="468"/>
      <c r="XC26" s="468">
        <v>35492</v>
      </c>
      <c r="XD26" s="468"/>
      <c r="XE26" s="468">
        <v>11205</v>
      </c>
      <c r="XF26" s="468">
        <v>39175</v>
      </c>
      <c r="XG26" s="468">
        <v>5637</v>
      </c>
      <c r="XH26" s="468">
        <v>2737</v>
      </c>
      <c r="XI26" s="468">
        <v>3038</v>
      </c>
      <c r="XJ26" s="468">
        <v>1479562</v>
      </c>
      <c r="XK26" s="468">
        <v>2559467</v>
      </c>
      <c r="XL26" s="468">
        <v>24068</v>
      </c>
      <c r="XM26" s="468">
        <v>11971</v>
      </c>
      <c r="XN26" s="468"/>
      <c r="XO26" s="468"/>
      <c r="XP26" s="468"/>
      <c r="XQ26" s="468"/>
      <c r="XR26" s="468">
        <v>36386</v>
      </c>
      <c r="XS26" s="468">
        <v>10336</v>
      </c>
      <c r="XT26" s="468"/>
      <c r="XU26" s="468"/>
      <c r="XV26" s="468">
        <v>4062</v>
      </c>
      <c r="XW26" s="468">
        <v>178</v>
      </c>
      <c r="XX26" s="468">
        <v>6329747</v>
      </c>
      <c r="XY26" s="468">
        <v>12124798</v>
      </c>
      <c r="XZ26" s="468">
        <v>179060</v>
      </c>
      <c r="YA26" s="468">
        <v>151985</v>
      </c>
      <c r="YB26" s="468">
        <v>663602</v>
      </c>
      <c r="YC26" s="468">
        <v>29786</v>
      </c>
      <c r="YD26" s="468">
        <v>1917658</v>
      </c>
      <c r="YE26" s="468">
        <v>1400445</v>
      </c>
      <c r="YF26" s="468">
        <v>1816489</v>
      </c>
      <c r="YG26" s="468">
        <v>1096935</v>
      </c>
      <c r="YH26" s="468"/>
      <c r="YI26" s="468"/>
      <c r="YJ26" s="468">
        <v>9728000</v>
      </c>
      <c r="YK26" s="468"/>
      <c r="YL26" s="468">
        <v>6256674</v>
      </c>
      <c r="YM26" s="468">
        <v>8743878</v>
      </c>
      <c r="YN26" s="468">
        <v>7989</v>
      </c>
      <c r="YO26" s="468">
        <v>13429</v>
      </c>
      <c r="YP26" s="468">
        <v>456239</v>
      </c>
      <c r="YQ26" s="468">
        <v>187932</v>
      </c>
      <c r="YR26" s="468"/>
      <c r="YS26" s="468"/>
      <c r="YT26" s="468">
        <v>8726</v>
      </c>
      <c r="YU26" s="468">
        <v>6559</v>
      </c>
      <c r="YV26" s="468">
        <v>46895</v>
      </c>
      <c r="YW26" s="468">
        <v>36479</v>
      </c>
      <c r="YX26" s="468">
        <v>785821</v>
      </c>
      <c r="YY26" s="468">
        <v>1562324</v>
      </c>
      <c r="YZ26" s="468">
        <v>14839</v>
      </c>
      <c r="ZA26" s="468">
        <v>2068</v>
      </c>
      <c r="ZB26" s="468">
        <v>4022744</v>
      </c>
      <c r="ZC26" s="468">
        <v>217297</v>
      </c>
      <c r="ZD26" s="468">
        <v>418835</v>
      </c>
      <c r="ZE26" s="468">
        <v>236222</v>
      </c>
      <c r="ZF26" s="468"/>
      <c r="ZG26" s="468"/>
      <c r="ZH26" s="468">
        <v>1307383</v>
      </c>
      <c r="ZI26" s="468">
        <v>1026072</v>
      </c>
      <c r="ZJ26" s="468">
        <v>296174</v>
      </c>
      <c r="ZK26" s="468">
        <v>277241</v>
      </c>
      <c r="ZL26" s="468"/>
      <c r="ZM26" s="468"/>
      <c r="ZN26" s="468"/>
      <c r="ZO26" s="468"/>
      <c r="ZP26" s="468"/>
      <c r="ZQ26" s="468"/>
      <c r="ZR26" s="468">
        <v>6674</v>
      </c>
      <c r="ZS26" s="468">
        <v>2272</v>
      </c>
      <c r="ZT26" s="468"/>
      <c r="ZU26" s="468"/>
      <c r="ZV26" s="468">
        <v>41706810</v>
      </c>
      <c r="ZW26" s="468">
        <v>13646817</v>
      </c>
      <c r="ZX26" s="468"/>
      <c r="ZY26" s="468">
        <v>62827</v>
      </c>
      <c r="ZZ26" s="614">
        <v>28572</v>
      </c>
      <c r="AAA26" s="614">
        <v>0</v>
      </c>
      <c r="AAB26" s="614">
        <v>525950</v>
      </c>
      <c r="AAC26" s="614">
        <v>507386</v>
      </c>
      <c r="AAD26" s="763">
        <v>459113877</v>
      </c>
      <c r="AAE26" s="763">
        <v>828334290</v>
      </c>
      <c r="AAF26" s="763">
        <v>989635</v>
      </c>
      <c r="AAG26" s="763">
        <v>4950518</v>
      </c>
      <c r="AAH26" s="614"/>
      <c r="AAI26" s="614"/>
      <c r="AAJ26" s="763"/>
      <c r="AAK26" s="763"/>
      <c r="AAL26" s="614"/>
      <c r="AAM26" s="614"/>
      <c r="AAN26" s="763"/>
      <c r="AAO26" s="763"/>
      <c r="AAP26" s="763">
        <v>74492000</v>
      </c>
      <c r="AAQ26" s="763">
        <v>85446561</v>
      </c>
      <c r="AAR26" s="763"/>
      <c r="AAS26" s="763"/>
      <c r="AAT26" s="763"/>
      <c r="AAU26" s="763"/>
      <c r="AAV26" s="763">
        <v>213046598</v>
      </c>
      <c r="AAW26" s="763">
        <v>178959404</v>
      </c>
      <c r="AAX26" s="763">
        <v>4540731</v>
      </c>
      <c r="AAY26" s="763">
        <v>55370000</v>
      </c>
      <c r="AAZ26" s="763"/>
      <c r="ABA26" s="763"/>
      <c r="ABB26" s="763">
        <v>165027666</v>
      </c>
      <c r="ABC26" s="763">
        <v>216742877</v>
      </c>
      <c r="ABD26" s="763">
        <v>863000</v>
      </c>
      <c r="ABE26" s="763">
        <v>93654060</v>
      </c>
      <c r="ABF26" s="763">
        <v>75450470</v>
      </c>
      <c r="ABG26" s="763">
        <v>261840050</v>
      </c>
      <c r="ABH26" s="763">
        <v>4416826</v>
      </c>
      <c r="ABI26" s="763">
        <v>6105409</v>
      </c>
      <c r="ABJ26" s="763">
        <v>64691266</v>
      </c>
      <c r="ABK26" s="763">
        <v>133290886</v>
      </c>
      <c r="ABL26" s="763">
        <v>52533493</v>
      </c>
      <c r="ABM26" s="763">
        <v>88858262</v>
      </c>
      <c r="ABN26" s="614">
        <v>318152</v>
      </c>
      <c r="ABO26" s="614">
        <v>649904</v>
      </c>
      <c r="ABP26" s="763">
        <v>12888905426</v>
      </c>
      <c r="ABQ26" s="763">
        <v>12338914065</v>
      </c>
      <c r="ABR26" s="614"/>
      <c r="ABS26" s="614"/>
      <c r="ABT26" s="614"/>
      <c r="ABU26" s="614"/>
      <c r="ABV26" s="614"/>
      <c r="ABW26" s="614"/>
      <c r="ABX26" s="763"/>
      <c r="ABY26" s="763"/>
      <c r="ABZ26" s="614"/>
      <c r="ACA26" s="614"/>
      <c r="ACB26" s="763">
        <v>1491975678</v>
      </c>
      <c r="ACC26" s="763">
        <v>2261795343</v>
      </c>
      <c r="ACD26" s="763">
        <v>916144055</v>
      </c>
      <c r="ACE26" s="763">
        <v>572769918</v>
      </c>
      <c r="ACF26" s="763">
        <v>2326569416</v>
      </c>
      <c r="ACG26" s="763">
        <v>1594159334</v>
      </c>
      <c r="ACH26" s="763">
        <v>1569882181</v>
      </c>
      <c r="ACI26" s="763">
        <v>1764188060</v>
      </c>
      <c r="ACJ26" s="763">
        <v>239104425</v>
      </c>
      <c r="ACK26" s="763">
        <v>287530255</v>
      </c>
      <c r="ACL26" s="614"/>
      <c r="ACM26" s="614"/>
      <c r="ACN26" s="614">
        <v>7906625</v>
      </c>
      <c r="ACO26" s="614">
        <v>10602671</v>
      </c>
      <c r="ACP26" s="763">
        <v>2296226447</v>
      </c>
      <c r="ACQ26" s="763">
        <v>3321749832</v>
      </c>
      <c r="ACR26" s="614">
        <v>7379223</v>
      </c>
      <c r="ACS26" s="614">
        <v>1366302</v>
      </c>
      <c r="ACT26" s="763"/>
      <c r="ACU26" s="763">
        <v>112723072</v>
      </c>
      <c r="ACV26" s="614"/>
      <c r="ACW26" s="614"/>
      <c r="ACX26" s="763">
        <v>19418044773</v>
      </c>
      <c r="ACY26" s="763">
        <v>18333857612</v>
      </c>
      <c r="ACZ26" s="605"/>
      <c r="ADA26" s="605"/>
      <c r="ADB26" s="605"/>
      <c r="ADC26" s="605"/>
      <c r="ADD26" s="605"/>
      <c r="ADE26" s="605"/>
      <c r="ADF26" s="605"/>
      <c r="ADG26" s="605"/>
      <c r="ADH26" s="605"/>
      <c r="ADI26" s="605"/>
      <c r="ADJ26" s="605"/>
      <c r="ADK26" s="605"/>
      <c r="ADL26" s="605"/>
      <c r="ADM26" s="605"/>
      <c r="ADN26" s="605"/>
      <c r="ADO26" s="605"/>
      <c r="ADP26" s="605"/>
      <c r="ADQ26" s="605"/>
      <c r="ADR26" s="605"/>
      <c r="ADS26" s="605"/>
      <c r="ADT26" s="605"/>
      <c r="ADU26" s="605"/>
      <c r="ADV26" s="605"/>
      <c r="ADW26" s="605"/>
      <c r="ADX26" s="605"/>
      <c r="ADY26" s="605"/>
      <c r="ADZ26" s="605"/>
      <c r="AEA26" s="605"/>
      <c r="AEB26" s="605"/>
      <c r="AEC26" s="605"/>
      <c r="AED26" s="605"/>
      <c r="AEE26" s="605"/>
      <c r="AEF26" s="605"/>
      <c r="AEG26" s="605"/>
      <c r="AEH26" s="605"/>
      <c r="AEI26" s="605"/>
      <c r="AEJ26" s="605"/>
      <c r="AEK26" s="605"/>
      <c r="AEL26" s="605"/>
      <c r="AEM26" s="605"/>
      <c r="AEN26" s="605"/>
      <c r="AEO26" s="605"/>
      <c r="AEP26" s="605"/>
      <c r="AEQ26" s="605"/>
      <c r="AER26" s="605"/>
      <c r="AES26" s="605"/>
      <c r="AET26" s="605"/>
      <c r="AEU26" s="605"/>
      <c r="AEV26" s="605"/>
      <c r="AEW26" s="605"/>
      <c r="AEX26" s="605"/>
      <c r="AEY26" s="605"/>
      <c r="AEZ26" s="605"/>
      <c r="AFA26" s="605"/>
      <c r="AFB26" s="605"/>
      <c r="AFC26" s="605"/>
      <c r="AFD26" s="605"/>
      <c r="AFE26" s="605"/>
      <c r="AFF26" s="605"/>
      <c r="AFG26" s="605"/>
      <c r="AFH26" s="605"/>
      <c r="AFI26" s="605"/>
      <c r="AFJ26" s="605"/>
      <c r="AFK26" s="605"/>
      <c r="AFL26" s="605"/>
      <c r="AFM26" s="605"/>
      <c r="AFN26" s="605"/>
      <c r="AFO26" s="605"/>
      <c r="AFP26" s="605"/>
      <c r="AFQ26" s="605"/>
      <c r="AFR26" s="605"/>
      <c r="AFS26" s="605"/>
      <c r="AFT26" s="605"/>
      <c r="AFU26" s="605"/>
      <c r="AFV26" s="605"/>
      <c r="AFW26" s="605"/>
      <c r="AFX26" s="605"/>
      <c r="AFY26" s="605"/>
      <c r="AFZ26" s="638">
        <v>31997233</v>
      </c>
      <c r="AGA26" s="638">
        <v>23729199</v>
      </c>
      <c r="AGB26" s="638">
        <v>2261795343</v>
      </c>
      <c r="AGC26" s="638">
        <v>3408510080</v>
      </c>
      <c r="AGD26" s="638">
        <v>133290885</v>
      </c>
      <c r="AGE26" s="638">
        <v>562059714</v>
      </c>
      <c r="AGF26" s="638">
        <v>231682390</v>
      </c>
      <c r="AGG26" s="638">
        <v>91282561</v>
      </c>
      <c r="AGH26" s="638">
        <v>7390001</v>
      </c>
      <c r="AGI26" s="638">
        <v>10808679</v>
      </c>
      <c r="AGJ26" s="752">
        <v>14783720</v>
      </c>
      <c r="AGK26" s="752">
        <v>19107859</v>
      </c>
      <c r="AGL26" s="638">
        <v>216742877</v>
      </c>
      <c r="AGM26" s="638">
        <v>329697283</v>
      </c>
      <c r="AGN26" s="638">
        <v>9017523410</v>
      </c>
      <c r="AGO26" s="638">
        <v>10490945736</v>
      </c>
      <c r="AGP26" s="638">
        <v>231682390</v>
      </c>
      <c r="AGQ26" s="638">
        <v>91282561</v>
      </c>
      <c r="AGR26" s="638">
        <v>616331019</v>
      </c>
      <c r="AGS26" s="638">
        <v>546390838</v>
      </c>
      <c r="AGT26" s="644"/>
      <c r="AGU26" s="638">
        <v>16389000</v>
      </c>
      <c r="AGV26" s="638">
        <v>86056625</v>
      </c>
      <c r="AGW26" s="638">
        <v>469057403</v>
      </c>
      <c r="AGX26" s="764" t="s">
        <v>224</v>
      </c>
      <c r="AGY26" s="764" t="s">
        <v>224</v>
      </c>
      <c r="AGZ26" s="638">
        <v>239692718</v>
      </c>
      <c r="AHA26" s="638">
        <v>177301433</v>
      </c>
      <c r="AHB26" s="638">
        <v>6625103</v>
      </c>
      <c r="AHC26" s="638">
        <v>36849136</v>
      </c>
      <c r="AHD26" s="638">
        <v>145417391</v>
      </c>
      <c r="AHE26" s="638">
        <v>112421224</v>
      </c>
      <c r="AHF26" s="638">
        <v>405196000</v>
      </c>
      <c r="AHG26" s="638">
        <v>7708988000</v>
      </c>
      <c r="AHH26" s="638">
        <v>285394050</v>
      </c>
      <c r="AHI26" s="638">
        <v>833244915</v>
      </c>
      <c r="AHJ26" s="638">
        <v>55370000</v>
      </c>
      <c r="AHK26" s="638">
        <v>49691000</v>
      </c>
      <c r="AHL26" s="638">
        <v>20635000</v>
      </c>
      <c r="AHM26" s="638">
        <v>183807000</v>
      </c>
      <c r="AHN26" s="638">
        <v>142363399</v>
      </c>
      <c r="AHO26" s="638">
        <v>352973628</v>
      </c>
      <c r="AHP26" s="638">
        <v>14666000</v>
      </c>
      <c r="AHQ26" s="638">
        <v>29174373</v>
      </c>
      <c r="AHR26" s="644"/>
      <c r="AHS26" s="638">
        <v>3341000</v>
      </c>
      <c r="AHT26" s="638">
        <v>178959414</v>
      </c>
      <c r="AHU26" s="638">
        <v>53591840</v>
      </c>
      <c r="AHV26" s="644"/>
      <c r="AHW26" s="644"/>
      <c r="AHX26" s="638">
        <v>19649446</v>
      </c>
      <c r="AHY26" s="638">
        <v>18473466</v>
      </c>
      <c r="AHZ26" s="638">
        <v>230639390</v>
      </c>
      <c r="AIA26" s="638">
        <v>302738471</v>
      </c>
      <c r="AIB26" s="638">
        <v>45398240</v>
      </c>
      <c r="AIC26" s="638">
        <v>20370442</v>
      </c>
      <c r="AID26" s="638">
        <v>24477000000</v>
      </c>
      <c r="AIE26" s="638">
        <v>12774000000</v>
      </c>
      <c r="AIF26" s="638">
        <v>107483000</v>
      </c>
      <c r="AIG26" s="638">
        <v>156661000</v>
      </c>
      <c r="AIH26" s="644"/>
      <c r="AII26" s="644"/>
      <c r="AIJ26" s="638">
        <v>23716797705</v>
      </c>
      <c r="AIK26" s="638">
        <v>97332314318</v>
      </c>
      <c r="AIL26" s="638">
        <v>627184411</v>
      </c>
      <c r="AIM26" s="638">
        <v>971397450</v>
      </c>
      <c r="AIN26" s="644"/>
      <c r="AIO26" s="638">
        <v>1689</v>
      </c>
      <c r="AIP26" s="644"/>
      <c r="AIQ26" s="644"/>
      <c r="AIR26" s="645">
        <v>2439299000</v>
      </c>
      <c r="AIS26" s="645">
        <v>2829831000</v>
      </c>
      <c r="AIT26" s="645">
        <v>88264559</v>
      </c>
      <c r="AIU26" s="645">
        <v>153459313</v>
      </c>
      <c r="AIV26" s="645">
        <v>247482975</v>
      </c>
      <c r="AIW26" s="645">
        <v>303600381</v>
      </c>
      <c r="AIX26" s="638">
        <v>58992</v>
      </c>
      <c r="AIY26" s="638">
        <v>100498</v>
      </c>
      <c r="AIZ26" s="638">
        <v>154536785</v>
      </c>
      <c r="AJA26" s="638">
        <v>149948052</v>
      </c>
      <c r="AJB26" s="638">
        <v>6105409000</v>
      </c>
      <c r="AJC26" s="638">
        <v>-5928531000</v>
      </c>
      <c r="AJD26" s="638">
        <v>14516000</v>
      </c>
      <c r="AJE26" s="644"/>
      <c r="AJF26" s="638">
        <v>24477000000</v>
      </c>
      <c r="AJG26" s="638">
        <v>12774000000</v>
      </c>
      <c r="AJH26" s="638">
        <v>35776721</v>
      </c>
      <c r="AJI26" s="638">
        <v>39501004</v>
      </c>
      <c r="AJJ26" s="638">
        <v>3321749832</v>
      </c>
      <c r="AJK26" s="638">
        <v>902842342</v>
      </c>
      <c r="AJL26" s="638">
        <v>36173191</v>
      </c>
      <c r="AJM26" s="638">
        <v>38649980</v>
      </c>
      <c r="AJN26" s="638">
        <v>1364070</v>
      </c>
      <c r="AJO26" s="638">
        <v>7605805</v>
      </c>
    </row>
    <row r="27" spans="1:951" x14ac:dyDescent="0.25">
      <c r="A27" s="91" t="s">
        <v>31</v>
      </c>
      <c r="B27" s="96">
        <v>0</v>
      </c>
      <c r="C27" s="96">
        <v>331739</v>
      </c>
      <c r="D27" s="96">
        <v>596439</v>
      </c>
      <c r="E27" s="96">
        <v>236059</v>
      </c>
      <c r="F27" s="96">
        <v>520381</v>
      </c>
      <c r="G27" s="96">
        <v>33247</v>
      </c>
      <c r="H27" s="96">
        <v>17046</v>
      </c>
      <c r="I27" s="96">
        <v>39632.474999999999</v>
      </c>
      <c r="J27" s="96">
        <v>46215</v>
      </c>
      <c r="K27" s="96"/>
      <c r="L27" s="96">
        <v>169027</v>
      </c>
      <c r="M27" s="96">
        <v>51027</v>
      </c>
      <c r="N27" s="96">
        <v>141861</v>
      </c>
      <c r="O27" s="96">
        <v>92802</v>
      </c>
      <c r="P27" s="96">
        <v>18210</v>
      </c>
      <c r="Q27" s="96">
        <v>0</v>
      </c>
      <c r="R27" s="96">
        <v>17782.560000000001</v>
      </c>
      <c r="S27" s="96">
        <v>29138</v>
      </c>
      <c r="T27" s="96">
        <v>29826</v>
      </c>
      <c r="U27" s="96">
        <v>34601</v>
      </c>
      <c r="V27" s="96">
        <v>0</v>
      </c>
      <c r="W27" s="96">
        <v>0</v>
      </c>
      <c r="X27" s="96">
        <v>7114</v>
      </c>
      <c r="Y27" s="96">
        <v>37928</v>
      </c>
      <c r="Z27" s="96">
        <v>51055</v>
      </c>
      <c r="AA27" s="96">
        <v>0</v>
      </c>
      <c r="AB27" s="96">
        <v>6070</v>
      </c>
      <c r="AC27" s="96">
        <v>7182</v>
      </c>
      <c r="AD27" s="96">
        <v>20012</v>
      </c>
      <c r="AE27" s="96">
        <v>20322</v>
      </c>
      <c r="AF27" s="96">
        <v>0</v>
      </c>
      <c r="AG27" s="96">
        <v>8976</v>
      </c>
      <c r="AH27" s="96">
        <v>12515</v>
      </c>
      <c r="AI27" s="96">
        <v>18433</v>
      </c>
      <c r="AJ27" s="96">
        <v>13427</v>
      </c>
      <c r="AK27" s="96">
        <v>0</v>
      </c>
      <c r="AL27" s="96">
        <v>28191.985000000001</v>
      </c>
      <c r="AM27" s="96">
        <v>20356</v>
      </c>
      <c r="AN27" s="96"/>
      <c r="AO27" s="96">
        <v>15090</v>
      </c>
      <c r="AP27" s="96">
        <v>0</v>
      </c>
      <c r="AQ27" s="96">
        <v>0</v>
      </c>
      <c r="AR27" s="96">
        <v>0</v>
      </c>
      <c r="AS27" s="96">
        <v>0</v>
      </c>
      <c r="AT27" s="96">
        <v>0</v>
      </c>
      <c r="AU27" s="96">
        <v>24778</v>
      </c>
      <c r="AV27" s="96">
        <v>10000</v>
      </c>
      <c r="AW27" s="96">
        <v>15000</v>
      </c>
      <c r="AX27" s="96">
        <v>9999</v>
      </c>
      <c r="AY27" s="96"/>
      <c r="AZ27" s="100">
        <v>21859.27</v>
      </c>
      <c r="BA27" s="96">
        <v>21588.208999999999</v>
      </c>
      <c r="BB27" s="96">
        <v>0</v>
      </c>
      <c r="BC27" s="96">
        <v>0</v>
      </c>
      <c r="BD27" s="96">
        <v>0</v>
      </c>
      <c r="BE27" s="96">
        <v>0</v>
      </c>
      <c r="BF27" s="96">
        <v>8741.7160000000003</v>
      </c>
      <c r="BG27" s="96">
        <v>26145</v>
      </c>
      <c r="BH27" s="96">
        <v>39801</v>
      </c>
      <c r="BI27" s="96">
        <v>51740</v>
      </c>
      <c r="BJ27" s="100"/>
      <c r="BK27" s="96"/>
      <c r="BL27" s="96"/>
      <c r="BM27" s="96"/>
      <c r="BN27" s="96"/>
      <c r="BO27" s="100"/>
      <c r="BP27" s="96"/>
      <c r="BQ27" s="96">
        <v>4450</v>
      </c>
      <c r="BR27" s="96">
        <v>12071</v>
      </c>
      <c r="BS27" s="96">
        <v>17518</v>
      </c>
      <c r="BT27" s="96">
        <v>0</v>
      </c>
      <c r="BU27" s="96">
        <v>0</v>
      </c>
      <c r="BV27" s="96">
        <v>5482</v>
      </c>
      <c r="BW27" s="96"/>
      <c r="BX27" s="96">
        <v>6490</v>
      </c>
      <c r="BY27" s="96">
        <v>0</v>
      </c>
      <c r="BZ27" s="96">
        <v>0</v>
      </c>
      <c r="CA27" s="96">
        <v>0</v>
      </c>
      <c r="CB27" s="96">
        <v>0</v>
      </c>
      <c r="CC27" s="96">
        <v>0</v>
      </c>
      <c r="CD27" s="96">
        <v>2182</v>
      </c>
      <c r="CE27" s="96">
        <v>2618.4209999999998</v>
      </c>
      <c r="CF27" s="96">
        <v>2471.6909999999998</v>
      </c>
      <c r="CG27" s="96">
        <v>4318</v>
      </c>
      <c r="CH27" s="96">
        <v>3132</v>
      </c>
      <c r="CI27" s="96">
        <v>0</v>
      </c>
      <c r="CJ27" s="96">
        <v>0</v>
      </c>
      <c r="CK27" s="96">
        <v>173</v>
      </c>
      <c r="CL27" s="96"/>
      <c r="CM27" s="96"/>
      <c r="CN27" s="96">
        <v>0</v>
      </c>
      <c r="CO27" s="96">
        <v>0</v>
      </c>
      <c r="CP27" s="96">
        <v>0</v>
      </c>
      <c r="CQ27" s="96">
        <v>0</v>
      </c>
      <c r="CR27" s="96">
        <v>0</v>
      </c>
      <c r="CS27" s="96">
        <v>0</v>
      </c>
      <c r="CT27" s="96">
        <v>0</v>
      </c>
      <c r="CU27" s="96">
        <v>4683</v>
      </c>
      <c r="CV27" s="96">
        <v>0</v>
      </c>
      <c r="CW27" s="96">
        <v>6148</v>
      </c>
      <c r="CX27" s="96">
        <v>0</v>
      </c>
      <c r="CY27" s="96">
        <v>0</v>
      </c>
      <c r="CZ27" s="96">
        <v>0</v>
      </c>
      <c r="DA27" s="96"/>
      <c r="DB27" s="96"/>
      <c r="DC27" s="96">
        <v>2262</v>
      </c>
      <c r="DD27" s="96">
        <v>3236</v>
      </c>
      <c r="DE27" s="96">
        <v>3061</v>
      </c>
      <c r="DF27" s="96">
        <v>4679</v>
      </c>
      <c r="DG27" s="96"/>
      <c r="DH27" s="96">
        <v>0</v>
      </c>
      <c r="DI27" s="96">
        <v>0</v>
      </c>
      <c r="DJ27" s="96"/>
      <c r="DK27" s="96"/>
      <c r="DL27" s="96"/>
      <c r="DM27" s="102">
        <v>85003</v>
      </c>
      <c r="DN27" s="96">
        <v>31633</v>
      </c>
      <c r="DO27" s="96">
        <v>208224</v>
      </c>
      <c r="DP27" s="96">
        <v>196496</v>
      </c>
      <c r="DQ27" s="96">
        <v>132932</v>
      </c>
      <c r="DR27" s="96">
        <v>1952727</v>
      </c>
      <c r="DS27" s="96">
        <v>1985683</v>
      </c>
      <c r="DT27" s="96">
        <v>6139000</v>
      </c>
      <c r="DU27" s="96">
        <v>3902746</v>
      </c>
      <c r="DV27" s="96">
        <v>3854147</v>
      </c>
      <c r="DW27" s="96">
        <v>18751.476999999999</v>
      </c>
      <c r="DX27" s="96">
        <v>6993.8389999999999</v>
      </c>
      <c r="DY27" s="96">
        <v>17577.809000000001</v>
      </c>
      <c r="DZ27" s="96">
        <v>20090</v>
      </c>
      <c r="EA27" s="96">
        <v>13173</v>
      </c>
      <c r="EB27" s="96"/>
      <c r="EC27" s="96"/>
      <c r="ED27" s="96"/>
      <c r="EE27" s="96"/>
      <c r="EF27" s="96"/>
      <c r="EG27" s="96"/>
      <c r="EH27" s="96"/>
      <c r="EI27" s="96"/>
      <c r="EJ27" s="96">
        <v>9885</v>
      </c>
      <c r="EK27" s="96"/>
      <c r="EL27" s="96"/>
      <c r="EM27" s="96"/>
      <c r="EN27" s="96"/>
      <c r="EO27" s="96">
        <v>681</v>
      </c>
      <c r="EP27" s="96"/>
      <c r="EQ27" s="96"/>
      <c r="ER27" s="96"/>
      <c r="ES27" s="96"/>
      <c r="ET27" s="96"/>
      <c r="EU27" s="96">
        <v>12500</v>
      </c>
      <c r="EV27" s="96">
        <v>42156</v>
      </c>
      <c r="EW27" s="96"/>
      <c r="EX27" s="96">
        <v>18210</v>
      </c>
      <c r="EY27" s="96">
        <v>121298</v>
      </c>
      <c r="EZ27" s="96">
        <v>34601</v>
      </c>
      <c r="FA27" s="96">
        <v>21766</v>
      </c>
      <c r="FB27" s="96">
        <v>20322</v>
      </c>
      <c r="FC27" s="96">
        <v>23709</v>
      </c>
      <c r="FD27" s="96">
        <v>13427</v>
      </c>
      <c r="FE27" s="96">
        <v>10482</v>
      </c>
      <c r="FF27" s="96">
        <v>15090</v>
      </c>
      <c r="FG27" s="96">
        <v>73935</v>
      </c>
      <c r="FH27" s="96">
        <v>0</v>
      </c>
      <c r="FI27" s="96">
        <v>0</v>
      </c>
      <c r="FJ27" s="96"/>
      <c r="FK27" s="96"/>
      <c r="FL27" s="96"/>
      <c r="FM27" s="96"/>
      <c r="FN27" s="96">
        <v>17518</v>
      </c>
      <c r="FO27" s="96">
        <v>13772</v>
      </c>
      <c r="FP27" s="96">
        <v>51740</v>
      </c>
      <c r="FQ27" s="96">
        <v>73286</v>
      </c>
      <c r="FR27" s="96">
        <v>6490</v>
      </c>
      <c r="FS27" s="96">
        <v>0</v>
      </c>
      <c r="FT27" s="96">
        <v>0</v>
      </c>
      <c r="FU27" s="96">
        <v>11126</v>
      </c>
      <c r="FV27" s="96">
        <v>0</v>
      </c>
      <c r="FW27" s="96">
        <v>199447</v>
      </c>
      <c r="FX27" s="96"/>
      <c r="FY27" s="96"/>
      <c r="FZ27" s="96">
        <v>51055</v>
      </c>
      <c r="GA27" s="96">
        <v>44372</v>
      </c>
      <c r="GB27" s="96"/>
      <c r="GC27" s="96"/>
      <c r="GD27" s="96">
        <v>3132</v>
      </c>
      <c r="GE27" s="96">
        <v>5184</v>
      </c>
      <c r="GF27" s="96"/>
      <c r="GG27" s="96"/>
      <c r="GH27" s="96">
        <v>0</v>
      </c>
      <c r="GI27" s="96">
        <v>0</v>
      </c>
      <c r="GJ27" s="96">
        <v>14190</v>
      </c>
      <c r="GK27" s="96">
        <v>0</v>
      </c>
      <c r="GL27" s="96">
        <v>245000</v>
      </c>
      <c r="GM27" s="96">
        <v>382802</v>
      </c>
      <c r="GN27" s="96">
        <v>60108</v>
      </c>
      <c r="GO27" s="96">
        <v>24849</v>
      </c>
      <c r="GP27" s="96"/>
      <c r="GQ27" s="96"/>
      <c r="GR27" s="96"/>
      <c r="GS27" s="96"/>
      <c r="GT27" s="96">
        <v>90274</v>
      </c>
      <c r="GU27" s="96">
        <v>18172</v>
      </c>
      <c r="GV27" s="96"/>
      <c r="GW27" s="96"/>
      <c r="GX27" s="96">
        <v>45476</v>
      </c>
      <c r="GY27" s="96">
        <v>20690</v>
      </c>
      <c r="GZ27" s="96">
        <v>57622</v>
      </c>
      <c r="HA27" s="96">
        <v>272710</v>
      </c>
      <c r="HB27" s="96"/>
      <c r="HC27" s="96">
        <v>88905</v>
      </c>
      <c r="HD27" s="96">
        <v>17439</v>
      </c>
      <c r="HE27" s="96">
        <v>19820</v>
      </c>
      <c r="HF27" s="96">
        <v>399216</v>
      </c>
      <c r="HG27" s="96">
        <v>246892</v>
      </c>
      <c r="HH27" s="96">
        <v>4377055</v>
      </c>
      <c r="HI27" s="96">
        <v>5502042</v>
      </c>
      <c r="HJ27" s="96">
        <v>89945</v>
      </c>
      <c r="HK27" s="96">
        <v>75525</v>
      </c>
      <c r="HL27" s="96">
        <v>7953</v>
      </c>
      <c r="HM27" s="96">
        <v>10275</v>
      </c>
      <c r="HN27" s="96">
        <v>5741</v>
      </c>
      <c r="HO27" s="96">
        <v>21784</v>
      </c>
      <c r="HP27" s="96"/>
      <c r="HQ27" s="96">
        <v>3859</v>
      </c>
      <c r="HR27" s="96">
        <v>50986</v>
      </c>
      <c r="HS27" s="96">
        <v>95770</v>
      </c>
      <c r="HT27" s="96"/>
      <c r="HU27" s="96"/>
      <c r="HV27" s="96"/>
      <c r="HW27" s="96">
        <v>7215</v>
      </c>
      <c r="HX27" s="96">
        <v>136199</v>
      </c>
      <c r="HY27" s="96">
        <v>61600</v>
      </c>
      <c r="HZ27" s="96">
        <v>204866</v>
      </c>
      <c r="IA27" s="96">
        <v>213759</v>
      </c>
      <c r="IB27" s="96">
        <v>81311</v>
      </c>
      <c r="IC27" s="96">
        <v>69145</v>
      </c>
      <c r="ID27" s="96">
        <v>525731</v>
      </c>
      <c r="IE27" s="96">
        <v>316466</v>
      </c>
      <c r="IF27" s="96">
        <v>464916</v>
      </c>
      <c r="IG27" s="96">
        <v>522155</v>
      </c>
      <c r="IH27" s="96">
        <v>4882</v>
      </c>
      <c r="II27" s="96">
        <v>7542</v>
      </c>
      <c r="IJ27" s="96"/>
      <c r="IK27" s="96">
        <v>64609</v>
      </c>
      <c r="IL27" s="96">
        <v>12500</v>
      </c>
      <c r="IM27" s="96">
        <v>61579</v>
      </c>
      <c r="IN27" s="96"/>
      <c r="IO27" s="96"/>
      <c r="IP27" s="96"/>
      <c r="IQ27" s="96">
        <v>0</v>
      </c>
      <c r="IR27" s="96"/>
      <c r="IS27" s="96"/>
      <c r="IT27" s="96"/>
      <c r="IU27" s="96">
        <v>13147</v>
      </c>
      <c r="IV27" s="96">
        <v>132932</v>
      </c>
      <c r="IW27" s="96">
        <v>132933</v>
      </c>
      <c r="IX27" s="96">
        <v>3854147</v>
      </c>
      <c r="IY27" s="96">
        <v>5053089</v>
      </c>
      <c r="IZ27" s="96">
        <v>13173</v>
      </c>
      <c r="JA27" s="96">
        <v>13495</v>
      </c>
      <c r="JB27" s="96"/>
      <c r="JC27" s="96">
        <v>47700</v>
      </c>
      <c r="JD27" s="96">
        <v>121298</v>
      </c>
      <c r="JE27" s="96">
        <v>331349</v>
      </c>
      <c r="JF27" s="96">
        <v>21766</v>
      </c>
      <c r="JG27" s="96"/>
      <c r="JH27" s="96">
        <v>23709</v>
      </c>
      <c r="JI27" s="96">
        <v>20657</v>
      </c>
      <c r="JJ27" s="96">
        <v>10483</v>
      </c>
      <c r="JK27" s="96">
        <v>8832</v>
      </c>
      <c r="JL27" s="96">
        <v>73935</v>
      </c>
      <c r="JM27" s="96">
        <v>15163</v>
      </c>
      <c r="JN27" s="96">
        <v>0</v>
      </c>
      <c r="JO27" s="96">
        <v>0</v>
      </c>
      <c r="JP27" s="96"/>
      <c r="JQ27" s="96"/>
      <c r="JR27" s="96"/>
      <c r="JS27" s="96"/>
      <c r="JT27" s="96">
        <v>13772</v>
      </c>
      <c r="JU27" s="96">
        <v>16732</v>
      </c>
      <c r="JV27" s="96">
        <v>73286</v>
      </c>
      <c r="JW27" s="96">
        <v>48349</v>
      </c>
      <c r="JX27" s="96">
        <v>0</v>
      </c>
      <c r="JY27" s="96">
        <v>0</v>
      </c>
      <c r="JZ27" s="96">
        <v>11126</v>
      </c>
      <c r="KA27" s="96"/>
      <c r="KB27" s="96">
        <v>199447</v>
      </c>
      <c r="KC27" s="96"/>
      <c r="KD27" s="96"/>
      <c r="KE27" s="96">
        <v>10298</v>
      </c>
      <c r="KF27" s="96">
        <v>44372</v>
      </c>
      <c r="KG27" s="96">
        <v>25931</v>
      </c>
      <c r="KH27" s="96"/>
      <c r="KI27" s="96"/>
      <c r="KJ27" s="96">
        <v>5184</v>
      </c>
      <c r="KK27" s="96">
        <v>11138</v>
      </c>
      <c r="KL27" s="96">
        <v>7112</v>
      </c>
      <c r="KM27" s="96"/>
      <c r="KN27" s="96">
        <v>0</v>
      </c>
      <c r="KO27" s="96">
        <v>0</v>
      </c>
      <c r="KP27" s="96">
        <v>0</v>
      </c>
      <c r="KQ27" s="96">
        <v>0</v>
      </c>
      <c r="KR27" s="96">
        <v>382802</v>
      </c>
      <c r="KS27" s="96">
        <v>328076</v>
      </c>
      <c r="KT27" s="96">
        <v>24849</v>
      </c>
      <c r="KU27" s="96">
        <v>58049</v>
      </c>
      <c r="KV27" s="96"/>
      <c r="KW27" s="96"/>
      <c r="KX27" s="96"/>
      <c r="KY27" s="96"/>
      <c r="KZ27" s="96">
        <v>18172</v>
      </c>
      <c r="LA27" s="96">
        <v>12319</v>
      </c>
      <c r="LB27" s="96"/>
      <c r="LC27" s="96">
        <v>1556</v>
      </c>
      <c r="LD27" s="96">
        <v>20690</v>
      </c>
      <c r="LE27" s="96">
        <v>60190</v>
      </c>
      <c r="LF27" s="96">
        <v>272710</v>
      </c>
      <c r="LG27" s="96"/>
      <c r="LH27" s="96">
        <v>88905</v>
      </c>
      <c r="LI27" s="96">
        <v>86823</v>
      </c>
      <c r="LJ27" s="96">
        <v>19820</v>
      </c>
      <c r="LK27" s="96"/>
      <c r="LL27" s="96">
        <v>246892</v>
      </c>
      <c r="LM27" s="96">
        <v>62217</v>
      </c>
      <c r="LN27" s="96">
        <v>5502042</v>
      </c>
      <c r="LO27" s="96">
        <v>3690560</v>
      </c>
      <c r="LP27" s="96">
        <v>75525</v>
      </c>
      <c r="LQ27" s="96"/>
      <c r="LR27" s="96">
        <v>10275</v>
      </c>
      <c r="LS27" s="96"/>
      <c r="LT27" s="96">
        <v>21784</v>
      </c>
      <c r="LU27" s="96">
        <v>7424</v>
      </c>
      <c r="LV27" s="96">
        <v>3859</v>
      </c>
      <c r="LW27" s="96">
        <v>8964</v>
      </c>
      <c r="LX27" s="96">
        <v>95770</v>
      </c>
      <c r="LY27" s="96">
        <v>188893</v>
      </c>
      <c r="LZ27" s="96"/>
      <c r="MA27" s="96"/>
      <c r="MB27" s="96">
        <v>7215</v>
      </c>
      <c r="MC27" s="96"/>
      <c r="MD27" s="96">
        <v>61600</v>
      </c>
      <c r="ME27" s="96">
        <v>60675</v>
      </c>
      <c r="MF27" s="96">
        <v>213759</v>
      </c>
      <c r="MG27" s="96">
        <v>414408</v>
      </c>
      <c r="MH27" s="96">
        <v>69145</v>
      </c>
      <c r="MI27" s="96">
        <v>81884</v>
      </c>
      <c r="MJ27" s="96">
        <v>316466</v>
      </c>
      <c r="MK27" s="96">
        <v>630718</v>
      </c>
      <c r="ML27" s="96">
        <v>522155</v>
      </c>
      <c r="MM27" s="96">
        <v>337439</v>
      </c>
      <c r="MN27" s="96">
        <v>7542</v>
      </c>
      <c r="MO27" s="96"/>
      <c r="MP27" s="96">
        <v>64609</v>
      </c>
      <c r="MQ27" s="96">
        <v>166108</v>
      </c>
      <c r="MR27" s="96">
        <v>61579</v>
      </c>
      <c r="MS27" s="96">
        <v>86070</v>
      </c>
      <c r="MT27" s="96"/>
      <c r="MU27" s="96"/>
      <c r="MV27" s="96">
        <v>0</v>
      </c>
      <c r="MW27" s="96">
        <v>0</v>
      </c>
      <c r="MX27" s="96"/>
      <c r="MY27" s="96">
        <v>3487</v>
      </c>
      <c r="MZ27" s="96">
        <v>13147</v>
      </c>
      <c r="NA27" s="96">
        <v>2902</v>
      </c>
      <c r="NB27" s="96">
        <v>132933</v>
      </c>
      <c r="NC27" s="96">
        <v>80277</v>
      </c>
      <c r="ND27" s="96">
        <v>5053089</v>
      </c>
      <c r="NE27" s="96">
        <v>832915</v>
      </c>
      <c r="NF27" s="96">
        <v>13495</v>
      </c>
      <c r="NG27" s="96">
        <v>27413</v>
      </c>
      <c r="NH27" s="391">
        <v>47700</v>
      </c>
      <c r="NI27" s="391">
        <v>22568</v>
      </c>
      <c r="NJ27" s="391">
        <v>315752</v>
      </c>
      <c r="NK27" s="391">
        <v>10290</v>
      </c>
      <c r="NL27" s="391"/>
      <c r="NM27" s="391"/>
      <c r="NN27" s="391">
        <f>14098+5075+3722</f>
        <v>22895</v>
      </c>
      <c r="NO27" s="391">
        <f>10555+3800+2787</f>
        <v>17142</v>
      </c>
      <c r="NP27" s="391">
        <v>8832</v>
      </c>
      <c r="NQ27" s="391">
        <f>7167+2101</f>
        <v>9268</v>
      </c>
      <c r="NR27" s="391">
        <v>15163</v>
      </c>
      <c r="NS27" s="391">
        <v>19368</v>
      </c>
      <c r="NT27" s="391">
        <v>0</v>
      </c>
      <c r="NU27" s="391">
        <v>0</v>
      </c>
      <c r="NV27" s="391"/>
      <c r="NW27" s="391"/>
      <c r="NX27" s="391">
        <v>19535</v>
      </c>
      <c r="NY27" s="391">
        <v>16644</v>
      </c>
      <c r="NZ27" s="391">
        <v>16732</v>
      </c>
      <c r="OA27" s="391">
        <v>16441</v>
      </c>
      <c r="OB27" s="391">
        <v>48349</v>
      </c>
      <c r="OC27" s="391">
        <v>42913</v>
      </c>
      <c r="OD27" s="391">
        <v>0</v>
      </c>
      <c r="OE27" s="391"/>
      <c r="OF27" s="391">
        <v>24169</v>
      </c>
      <c r="OG27" s="391">
        <v>21164</v>
      </c>
      <c r="OH27" s="391"/>
      <c r="OI27" s="391"/>
      <c r="OJ27" s="391">
        <v>10298</v>
      </c>
      <c r="OK27" s="391">
        <f>18996+6839</f>
        <v>25835</v>
      </c>
      <c r="OL27" s="391">
        <v>25931</v>
      </c>
      <c r="OM27" s="391">
        <v>31262</v>
      </c>
      <c r="ON27" s="391"/>
      <c r="OO27" s="391">
        <v>28367</v>
      </c>
      <c r="OP27" s="391">
        <v>11138</v>
      </c>
      <c r="OQ27" s="391">
        <v>3431</v>
      </c>
      <c r="OR27" s="391"/>
      <c r="OS27" s="391"/>
      <c r="OT27" s="391">
        <v>0</v>
      </c>
      <c r="OU27" s="391">
        <v>0</v>
      </c>
      <c r="OV27" s="391">
        <v>0</v>
      </c>
      <c r="OW27" s="391">
        <v>9820</v>
      </c>
      <c r="OX27" s="391">
        <v>328076</v>
      </c>
      <c r="OY27" s="391">
        <v>323000</v>
      </c>
      <c r="OZ27" s="391">
        <v>58049</v>
      </c>
      <c r="PA27" s="391">
        <v>8412</v>
      </c>
      <c r="PB27" s="391">
        <v>2055</v>
      </c>
      <c r="PC27" s="391">
        <f>4882</f>
        <v>4882</v>
      </c>
      <c r="PD27" s="391"/>
      <c r="PE27" s="391"/>
      <c r="PF27" s="391">
        <v>12319</v>
      </c>
      <c r="PG27" s="391">
        <v>77502</v>
      </c>
      <c r="PH27" s="391">
        <v>1556</v>
      </c>
      <c r="PI27" s="391"/>
      <c r="PJ27" s="391">
        <v>60190</v>
      </c>
      <c r="PK27" s="391">
        <v>54794</v>
      </c>
      <c r="PL27" s="391">
        <v>-2294025</v>
      </c>
      <c r="PM27" s="391">
        <v>-1038704</v>
      </c>
      <c r="PN27" s="391">
        <v>51753</v>
      </c>
      <c r="PO27" s="391">
        <v>63028</v>
      </c>
      <c r="PP27" s="391">
        <v>3011</v>
      </c>
      <c r="PQ27" s="391">
        <v>84629</v>
      </c>
      <c r="PR27" s="391">
        <v>62217</v>
      </c>
      <c r="PS27" s="391">
        <v>43013</v>
      </c>
      <c r="PT27" s="391">
        <f>2713646+976913+238551</f>
        <v>3929110</v>
      </c>
      <c r="PU27" s="391">
        <f>2022026+1092334+1061048</f>
        <v>4175408</v>
      </c>
      <c r="PV27" s="391">
        <f>55533+19992</f>
        <v>75525</v>
      </c>
      <c r="PW27" s="391"/>
      <c r="PX27" s="391">
        <v>-663000</v>
      </c>
      <c r="PY27" s="391">
        <v>-8000</v>
      </c>
      <c r="PZ27" s="391">
        <v>7424</v>
      </c>
      <c r="QA27" s="391">
        <f>9696+3662+3491</f>
        <v>16849</v>
      </c>
      <c r="QB27" s="391">
        <v>8964</v>
      </c>
      <c r="QC27" s="391">
        <v>6591</v>
      </c>
      <c r="QD27" s="391">
        <v>188893</v>
      </c>
      <c r="QE27" s="391">
        <v>135651</v>
      </c>
      <c r="QF27" s="391"/>
      <c r="QG27" s="391"/>
      <c r="QH27" s="391"/>
      <c r="QI27" s="391"/>
      <c r="QJ27" s="391">
        <v>60675</v>
      </c>
      <c r="QK27" s="391">
        <v>65172</v>
      </c>
      <c r="QL27" s="391">
        <v>414408</v>
      </c>
      <c r="QM27" s="391">
        <f>273910+13752</f>
        <v>287662</v>
      </c>
      <c r="QN27" s="391">
        <v>69145</v>
      </c>
      <c r="QO27" s="391">
        <v>81884</v>
      </c>
      <c r="QP27" s="391">
        <v>630718</v>
      </c>
      <c r="QQ27" s="391">
        <v>284018</v>
      </c>
      <c r="QR27" s="391">
        <v>337439</v>
      </c>
      <c r="QS27" s="391">
        <f>193611+76763</f>
        <v>270374</v>
      </c>
      <c r="QT27" s="391"/>
      <c r="QU27" s="391"/>
      <c r="QV27" s="391">
        <v>64609</v>
      </c>
      <c r="QW27" s="391">
        <v>166108</v>
      </c>
      <c r="QX27" s="391">
        <f>44213+15916</f>
        <v>60129</v>
      </c>
      <c r="QY27" s="391">
        <f>42300+15227+2380</f>
        <v>59907</v>
      </c>
      <c r="QZ27" s="391"/>
      <c r="RA27" s="391"/>
      <c r="RB27" s="391">
        <v>0</v>
      </c>
      <c r="RC27" s="391">
        <v>0</v>
      </c>
      <c r="RD27" s="391"/>
      <c r="RE27" s="391">
        <v>3487</v>
      </c>
      <c r="RF27" s="391">
        <v>2902</v>
      </c>
      <c r="RG27" s="391"/>
      <c r="RH27" s="391">
        <v>132933</v>
      </c>
      <c r="RI27" s="391">
        <f>60331+19946</f>
        <v>80277</v>
      </c>
      <c r="RJ27" s="391">
        <f>832915+304712</f>
        <v>1137627</v>
      </c>
      <c r="RK27" s="391">
        <f>2445000+517096</f>
        <v>2962096</v>
      </c>
      <c r="RL27" s="391">
        <v>27413</v>
      </c>
      <c r="RM27" s="391">
        <v>19958</v>
      </c>
      <c r="RN27" s="96">
        <v>31243</v>
      </c>
      <c r="RO27" s="96">
        <v>6815</v>
      </c>
      <c r="RP27" s="96">
        <v>10290</v>
      </c>
      <c r="RQ27" s="96">
        <v>129967</v>
      </c>
      <c r="RR27" s="96"/>
      <c r="RS27" s="96">
        <v>32334</v>
      </c>
      <c r="RT27" s="96">
        <v>17142</v>
      </c>
      <c r="RU27" s="96">
        <v>7228</v>
      </c>
      <c r="RV27" s="96">
        <v>9268</v>
      </c>
      <c r="RW27" s="96">
        <v>4858</v>
      </c>
      <c r="RX27" s="96">
        <v>19818</v>
      </c>
      <c r="RY27" s="96">
        <v>9864</v>
      </c>
      <c r="RZ27" s="96"/>
      <c r="SA27" s="96"/>
      <c r="SB27" s="96"/>
      <c r="SC27" s="96"/>
      <c r="SD27" s="96">
        <v>16644</v>
      </c>
      <c r="SE27" s="96"/>
      <c r="SF27" s="96">
        <v>16441</v>
      </c>
      <c r="SG27" s="96">
        <v>39472</v>
      </c>
      <c r="SH27" s="96">
        <v>42913</v>
      </c>
      <c r="SI27" s="96">
        <v>51547</v>
      </c>
      <c r="SJ27" s="96"/>
      <c r="SK27" s="96"/>
      <c r="SL27" s="96">
        <v>21164</v>
      </c>
      <c r="SM27" s="96"/>
      <c r="SN27" s="96"/>
      <c r="SO27" s="96"/>
      <c r="SP27" s="96">
        <v>25835</v>
      </c>
      <c r="SQ27" s="96">
        <v>22683</v>
      </c>
      <c r="SR27" s="96">
        <v>-141580</v>
      </c>
      <c r="SS27" s="96">
        <v>114864</v>
      </c>
      <c r="ST27" s="96">
        <v>28367</v>
      </c>
      <c r="SU27" s="96"/>
      <c r="SV27" s="96">
        <v>3432</v>
      </c>
      <c r="SW27" s="96">
        <v>19884</v>
      </c>
      <c r="SX27" s="96"/>
      <c r="SY27" s="96"/>
      <c r="SZ27" s="96"/>
      <c r="TA27" s="96"/>
      <c r="TB27" s="96">
        <v>9820</v>
      </c>
      <c r="TC27" s="96"/>
      <c r="TD27" s="96">
        <v>323000</v>
      </c>
      <c r="TE27" s="96">
        <v>650124</v>
      </c>
      <c r="TF27" s="96"/>
      <c r="TG27" s="96"/>
      <c r="TH27" s="96">
        <v>1668</v>
      </c>
      <c r="TI27" s="96">
        <v>-5241</v>
      </c>
      <c r="TJ27" s="96"/>
      <c r="TK27" s="96"/>
      <c r="TL27" s="96">
        <v>91647</v>
      </c>
      <c r="TM27" s="96">
        <v>39131</v>
      </c>
      <c r="TN27" s="96"/>
      <c r="TO27" s="96"/>
      <c r="TP27" s="96">
        <v>54794</v>
      </c>
      <c r="TQ27" s="96">
        <v>40321</v>
      </c>
      <c r="TR27" s="96">
        <v>-1038704</v>
      </c>
      <c r="TS27" s="96">
        <v>-474097</v>
      </c>
      <c r="TT27" s="96">
        <v>63028</v>
      </c>
      <c r="TU27" s="96">
        <v>50272</v>
      </c>
      <c r="TV27" s="96">
        <v>29377000</v>
      </c>
      <c r="TW27" s="96"/>
      <c r="TX27" s="96">
        <v>43013</v>
      </c>
      <c r="TY27" s="96">
        <v>115580</v>
      </c>
      <c r="TZ27" s="96">
        <v>4175408</v>
      </c>
      <c r="UA27" s="96">
        <v>6216668</v>
      </c>
      <c r="UB27" s="96"/>
      <c r="UC27" s="96"/>
      <c r="UD27" s="96">
        <v>-8000</v>
      </c>
      <c r="UE27" s="96">
        <v>-156000</v>
      </c>
      <c r="UF27" s="96">
        <v>16849</v>
      </c>
      <c r="UG27" s="96">
        <v>95684</v>
      </c>
      <c r="UH27" s="96"/>
      <c r="UI27" s="96"/>
      <c r="UJ27" s="96">
        <v>135651</v>
      </c>
      <c r="UK27" s="96">
        <v>91797</v>
      </c>
      <c r="UL27" s="96"/>
      <c r="UM27" s="96"/>
      <c r="UN27" s="96"/>
      <c r="UO27" s="96"/>
      <c r="UP27" s="96">
        <v>229468</v>
      </c>
      <c r="UQ27" s="96">
        <v>-77990</v>
      </c>
      <c r="UR27" s="96">
        <v>287662</v>
      </c>
      <c r="US27" s="96">
        <v>288217</v>
      </c>
      <c r="UT27" s="96">
        <v>81884</v>
      </c>
      <c r="UU27" s="96"/>
      <c r="UV27" s="96">
        <v>284018</v>
      </c>
      <c r="UW27" s="96">
        <v>421134</v>
      </c>
      <c r="UX27" s="96">
        <v>-101715</v>
      </c>
      <c r="UY27" s="96">
        <v>29322</v>
      </c>
      <c r="UZ27" s="96"/>
      <c r="VA27" s="96"/>
      <c r="VB27" s="96">
        <v>29237</v>
      </c>
      <c r="VC27" s="96">
        <v>183136</v>
      </c>
      <c r="VD27" s="96">
        <v>286016</v>
      </c>
      <c r="VE27" s="96">
        <v>53146</v>
      </c>
      <c r="VF27" s="96"/>
      <c r="VG27" s="96"/>
      <c r="VH27" s="96">
        <v>0</v>
      </c>
      <c r="VI27" s="96"/>
      <c r="VJ27" s="96">
        <v>2392</v>
      </c>
      <c r="VK27" s="96"/>
      <c r="VL27" s="96"/>
      <c r="VM27" s="96"/>
      <c r="VN27" s="96">
        <v>80277</v>
      </c>
      <c r="VO27" s="96"/>
      <c r="VP27" s="96">
        <v>2962096</v>
      </c>
      <c r="VQ27" s="96">
        <v>1675025</v>
      </c>
      <c r="VR27" s="96">
        <v>19958</v>
      </c>
      <c r="VS27" s="96">
        <v>20393</v>
      </c>
      <c r="VT27" s="96">
        <v>6815</v>
      </c>
      <c r="VU27" s="96">
        <v>7219</v>
      </c>
      <c r="VV27" s="96">
        <v>129967</v>
      </c>
      <c r="VW27" s="96"/>
      <c r="VX27" s="96">
        <v>32334</v>
      </c>
      <c r="VY27" s="96">
        <v>8126</v>
      </c>
      <c r="VZ27" s="96">
        <v>7228</v>
      </c>
      <c r="WA27" s="96">
        <v>41753</v>
      </c>
      <c r="WB27" s="96">
        <v>4858</v>
      </c>
      <c r="WC27" s="96">
        <v>13385</v>
      </c>
      <c r="WD27" s="96">
        <v>9864</v>
      </c>
      <c r="WE27" s="96"/>
      <c r="WF27" s="96"/>
      <c r="WG27" s="96"/>
      <c r="WH27" s="96"/>
      <c r="WI27" s="96"/>
      <c r="WJ27" s="96"/>
      <c r="WK27" s="96"/>
      <c r="WL27" s="96">
        <v>30559</v>
      </c>
      <c r="WM27" s="96">
        <v>23722</v>
      </c>
      <c r="WN27" s="96">
        <v>51547</v>
      </c>
      <c r="WO27" s="96">
        <v>70891</v>
      </c>
      <c r="WP27" s="96"/>
      <c r="WQ27" s="96"/>
      <c r="WR27" s="96">
        <v>11168</v>
      </c>
      <c r="WS27" s="96">
        <v>69172</v>
      </c>
      <c r="WT27" s="96"/>
      <c r="WU27" s="96">
        <v>13555</v>
      </c>
      <c r="WV27" s="96">
        <v>22683</v>
      </c>
      <c r="WW27" s="96">
        <v>15760</v>
      </c>
      <c r="WX27" s="96">
        <v>114864</v>
      </c>
      <c r="WY27" s="96"/>
      <c r="WZ27" s="96"/>
      <c r="XA27" s="96"/>
      <c r="XB27" s="96">
        <v>19884</v>
      </c>
      <c r="XC27" s="96"/>
      <c r="XD27" s="96">
        <v>11151</v>
      </c>
      <c r="XE27" s="96">
        <v>13304</v>
      </c>
      <c r="XF27" s="96"/>
      <c r="XG27" s="96"/>
      <c r="XH27" s="96">
        <v>9500</v>
      </c>
      <c r="XI27" s="96">
        <v>1005</v>
      </c>
      <c r="XJ27" s="96">
        <v>650124</v>
      </c>
      <c r="XK27" s="96">
        <v>612537</v>
      </c>
      <c r="XL27" s="96"/>
      <c r="XM27" s="96">
        <v>7699</v>
      </c>
      <c r="XN27" s="96"/>
      <c r="XO27" s="96"/>
      <c r="XP27" s="96"/>
      <c r="XQ27" s="96"/>
      <c r="XR27" s="96">
        <v>39131</v>
      </c>
      <c r="XS27" s="96">
        <v>232908</v>
      </c>
      <c r="XT27" s="96"/>
      <c r="XU27" s="96"/>
      <c r="XV27" s="96">
        <v>40322</v>
      </c>
      <c r="XW27" s="96">
        <v>76051</v>
      </c>
      <c r="XX27" s="96">
        <v>-474097</v>
      </c>
      <c r="XY27" s="96">
        <v>256166</v>
      </c>
      <c r="XZ27" s="96">
        <v>50272</v>
      </c>
      <c r="YA27" s="96">
        <v>44329</v>
      </c>
      <c r="YB27" s="96"/>
      <c r="YC27" s="96">
        <v>9700</v>
      </c>
      <c r="YD27" s="96">
        <v>46277</v>
      </c>
      <c r="YE27" s="96">
        <v>125193</v>
      </c>
      <c r="YF27" s="96">
        <v>6216668</v>
      </c>
      <c r="YG27" s="96">
        <v>4629268</v>
      </c>
      <c r="YH27" s="96"/>
      <c r="YI27" s="96"/>
      <c r="YJ27" s="96">
        <v>-156000</v>
      </c>
      <c r="YK27" s="96"/>
      <c r="YL27" s="96">
        <v>100720000</v>
      </c>
      <c r="YM27" s="96">
        <v>40032000</v>
      </c>
      <c r="YN27" s="96"/>
      <c r="YO27" s="96">
        <v>38757</v>
      </c>
      <c r="YP27" s="96">
        <v>91797</v>
      </c>
      <c r="YQ27" s="96">
        <v>292554</v>
      </c>
      <c r="YR27" s="96"/>
      <c r="YS27" s="96"/>
      <c r="YT27" s="96"/>
      <c r="YU27" s="96"/>
      <c r="YV27" s="96">
        <v>-77990</v>
      </c>
      <c r="YW27" s="96">
        <v>333964</v>
      </c>
      <c r="YX27" s="96">
        <v>288217</v>
      </c>
      <c r="YY27" s="96">
        <v>42848</v>
      </c>
      <c r="YZ27" s="96"/>
      <c r="ZA27" s="96"/>
      <c r="ZB27" s="96">
        <v>421134</v>
      </c>
      <c r="ZC27" s="96">
        <v>538737</v>
      </c>
      <c r="ZD27" s="96">
        <v>29322</v>
      </c>
      <c r="ZE27" s="96">
        <v>168267</v>
      </c>
      <c r="ZF27" s="96"/>
      <c r="ZG27" s="96"/>
      <c r="ZH27" s="96">
        <v>183136</v>
      </c>
      <c r="ZI27" s="96"/>
      <c r="ZJ27" s="96">
        <v>53146</v>
      </c>
      <c r="ZK27" s="96">
        <v>63315</v>
      </c>
      <c r="ZL27" s="96"/>
      <c r="ZM27" s="96"/>
      <c r="ZN27" s="96"/>
      <c r="ZO27" s="96">
        <v>7940</v>
      </c>
      <c r="ZP27" s="96"/>
      <c r="ZQ27" s="96"/>
      <c r="ZR27" s="96"/>
      <c r="ZS27" s="96"/>
      <c r="ZT27" s="96"/>
      <c r="ZU27" s="96"/>
      <c r="ZV27" s="96">
        <v>1675025</v>
      </c>
      <c r="ZW27" s="96">
        <v>594048</v>
      </c>
      <c r="ZX27" s="96">
        <v>20392</v>
      </c>
      <c r="ZY27" s="96">
        <v>3914</v>
      </c>
      <c r="ZZ27" s="762">
        <v>8566</v>
      </c>
      <c r="AAA27" s="737">
        <v>19274</v>
      </c>
      <c r="AAB27" s="762"/>
      <c r="AAC27" s="762"/>
      <c r="AAD27" s="762">
        <v>56727</v>
      </c>
      <c r="AAE27" s="762">
        <v>25198</v>
      </c>
      <c r="AAF27" s="762">
        <v>0</v>
      </c>
      <c r="AAG27" s="737">
        <v>0</v>
      </c>
      <c r="AAH27" s="762">
        <v>89661</v>
      </c>
      <c r="AAI27" s="762">
        <v>2571</v>
      </c>
      <c r="AAJ27" s="762">
        <v>23722</v>
      </c>
      <c r="AAK27" s="762">
        <v>1606</v>
      </c>
      <c r="AAL27" s="762">
        <v>17151</v>
      </c>
      <c r="AAM27" s="762">
        <v>3654</v>
      </c>
      <c r="AAN27" s="762">
        <v>26918</v>
      </c>
      <c r="AAO27" s="762">
        <v>2599</v>
      </c>
      <c r="AAP27" s="762">
        <v>0</v>
      </c>
      <c r="AAQ27" s="762">
        <v>0</v>
      </c>
      <c r="AAR27" s="762">
        <v>48988</v>
      </c>
      <c r="AAS27" s="762">
        <v>67576</v>
      </c>
      <c r="AAT27" s="765"/>
      <c r="AAU27" s="766">
        <v>149115</v>
      </c>
      <c r="AAV27" s="741">
        <v>0</v>
      </c>
      <c r="AAW27" s="741">
        <v>0</v>
      </c>
      <c r="AAX27" s="737">
        <v>0</v>
      </c>
      <c r="AAY27" s="737">
        <v>0</v>
      </c>
      <c r="AAZ27" s="737">
        <v>40293</v>
      </c>
      <c r="ABA27" s="737">
        <v>2278</v>
      </c>
      <c r="ABB27" s="737">
        <v>3094</v>
      </c>
      <c r="ABC27" s="737">
        <v>0</v>
      </c>
      <c r="ABD27" s="762">
        <v>330744</v>
      </c>
      <c r="ABE27" s="766">
        <v>115900</v>
      </c>
      <c r="ABF27" s="766">
        <v>0</v>
      </c>
      <c r="ABG27" s="766">
        <v>0</v>
      </c>
      <c r="ABH27" s="762">
        <v>258559</v>
      </c>
      <c r="ABI27" s="762">
        <v>212161</v>
      </c>
      <c r="ABJ27" s="762">
        <v>2158634</v>
      </c>
      <c r="ABK27" s="762">
        <v>516055</v>
      </c>
      <c r="ABL27" s="762">
        <v>12438130</v>
      </c>
      <c r="ABM27" s="778">
        <v>0</v>
      </c>
      <c r="ABN27" s="762">
        <v>16376</v>
      </c>
      <c r="ABO27" s="762">
        <v>59387</v>
      </c>
      <c r="ABP27" s="762">
        <v>0</v>
      </c>
      <c r="ABQ27" s="762">
        <v>33682</v>
      </c>
      <c r="ABR27" s="762">
        <v>2144641</v>
      </c>
      <c r="ABS27" s="762">
        <v>39971484</v>
      </c>
      <c r="ABT27" s="762">
        <v>0</v>
      </c>
      <c r="ABU27" s="762">
        <v>0</v>
      </c>
      <c r="ABV27" s="762">
        <v>1710000</v>
      </c>
      <c r="ABW27" s="762">
        <v>2318000</v>
      </c>
      <c r="ABX27" s="762">
        <v>60747</v>
      </c>
      <c r="ABY27" s="762">
        <v>44026</v>
      </c>
      <c r="ABZ27" s="762">
        <v>769089</v>
      </c>
      <c r="ACA27" s="762">
        <v>334827</v>
      </c>
      <c r="ACB27" s="762">
        <v>0</v>
      </c>
      <c r="ACC27" s="762">
        <v>0</v>
      </c>
      <c r="ACD27" s="762"/>
      <c r="ACE27" s="762">
        <v>70606</v>
      </c>
      <c r="ACF27" s="762">
        <v>11893</v>
      </c>
      <c r="ACG27" s="737">
        <v>523576</v>
      </c>
      <c r="ACH27" s="762">
        <v>660177</v>
      </c>
      <c r="ACI27" s="762">
        <v>1102996</v>
      </c>
      <c r="ACJ27" s="762">
        <v>3438</v>
      </c>
      <c r="ACK27" s="737">
        <v>9000</v>
      </c>
      <c r="ACL27" s="762">
        <v>508168</v>
      </c>
      <c r="ACM27" s="762">
        <v>12507</v>
      </c>
      <c r="ACN27" s="762">
        <v>0</v>
      </c>
      <c r="ACO27" s="762">
        <v>0</v>
      </c>
      <c r="ACP27" s="762">
        <v>0</v>
      </c>
      <c r="ACQ27" s="767">
        <v>0</v>
      </c>
      <c r="ACR27" s="767">
        <v>13051</v>
      </c>
      <c r="ACS27" s="767">
        <v>2277</v>
      </c>
      <c r="ACT27" s="762">
        <v>7382</v>
      </c>
      <c r="ACU27" s="762">
        <v>742</v>
      </c>
      <c r="ACV27" s="762">
        <v>0</v>
      </c>
      <c r="ACW27" s="762">
        <v>385</v>
      </c>
      <c r="ACX27" s="762">
        <v>538027</v>
      </c>
      <c r="ACY27" s="762">
        <v>1000507</v>
      </c>
      <c r="ACZ27" s="614">
        <v>7441</v>
      </c>
      <c r="ADA27" s="614">
        <v>0</v>
      </c>
      <c r="ADB27" s="614"/>
      <c r="ADC27" s="614">
        <v>54434</v>
      </c>
      <c r="ADD27" s="763">
        <v>116699209</v>
      </c>
      <c r="ADE27" s="763">
        <v>65022278</v>
      </c>
      <c r="ADF27" s="763">
        <v>4732977</v>
      </c>
      <c r="ADG27" s="763">
        <v>12300295</v>
      </c>
      <c r="ADH27" s="614"/>
      <c r="ADI27" s="614">
        <v>0</v>
      </c>
      <c r="ADJ27" s="763">
        <v>0</v>
      </c>
      <c r="ADK27" s="763">
        <v>0</v>
      </c>
      <c r="ADL27" s="614"/>
      <c r="ADM27" s="614"/>
      <c r="ADN27" s="763">
        <v>14197380</v>
      </c>
      <c r="ADO27" s="763">
        <v>19505502</v>
      </c>
      <c r="ADP27" s="763">
        <v>4137955</v>
      </c>
      <c r="ADQ27" s="763">
        <v>2818000</v>
      </c>
      <c r="ADR27" s="763"/>
      <c r="ADS27" s="763"/>
      <c r="ADT27" s="763">
        <v>9781528</v>
      </c>
      <c r="ADU27" s="763">
        <v>11671985</v>
      </c>
      <c r="ADV27" s="763">
        <v>-34035103</v>
      </c>
      <c r="ADW27" s="763">
        <v>-42018000</v>
      </c>
      <c r="ADX27" s="763">
        <v>-6216000</v>
      </c>
      <c r="ADY27" s="763">
        <v>-34448000</v>
      </c>
      <c r="ADZ27" s="763"/>
      <c r="AEA27" s="763"/>
      <c r="AEB27" s="763">
        <v>-69409993</v>
      </c>
      <c r="AEC27" s="763">
        <v>15872836</v>
      </c>
      <c r="AED27" s="763">
        <v>31555000</v>
      </c>
      <c r="AEE27" s="763">
        <v>65025000</v>
      </c>
      <c r="AEF27" s="763">
        <v>-156900882</v>
      </c>
      <c r="AEG27" s="763">
        <v>-492230235</v>
      </c>
      <c r="AEH27" s="763">
        <v>1611943</v>
      </c>
      <c r="AEI27" s="763">
        <v>9992150</v>
      </c>
      <c r="AEJ27" s="763">
        <v>-60249876</v>
      </c>
      <c r="AEK27" s="763">
        <v>409723980</v>
      </c>
      <c r="AEL27" s="763">
        <v>91686725</v>
      </c>
      <c r="AEM27" s="763">
        <v>159363011</v>
      </c>
      <c r="AEN27" s="614">
        <v>161320</v>
      </c>
      <c r="AEO27" s="614">
        <v>128548</v>
      </c>
      <c r="AEP27" s="763">
        <v>1124795836</v>
      </c>
      <c r="AEQ27" s="763">
        <v>6015553794</v>
      </c>
      <c r="AER27" s="614"/>
      <c r="AES27" s="614"/>
      <c r="AET27" s="614"/>
      <c r="AEU27" s="614"/>
      <c r="AEV27" s="614">
        <v>1856000</v>
      </c>
      <c r="AEW27" s="614">
        <v>3777000</v>
      </c>
      <c r="AEX27" s="763">
        <v>94080513</v>
      </c>
      <c r="AEY27" s="763">
        <v>93039620</v>
      </c>
      <c r="AEZ27" s="614"/>
      <c r="AFA27" s="614"/>
      <c r="AFB27" s="763">
        <v>-109239904</v>
      </c>
      <c r="AFC27" s="763">
        <v>1275753400</v>
      </c>
      <c r="AFD27" s="763">
        <v>54406000</v>
      </c>
      <c r="AFE27" s="763">
        <v>78571000</v>
      </c>
      <c r="AFF27" s="763">
        <v>123518000</v>
      </c>
      <c r="AFG27" s="763">
        <v>123945000</v>
      </c>
      <c r="AFH27" s="763">
        <v>117293773</v>
      </c>
      <c r="AFI27" s="763">
        <v>310568306</v>
      </c>
      <c r="AFJ27" s="763">
        <v>689848387</v>
      </c>
      <c r="AFK27" s="763">
        <v>1013373603</v>
      </c>
      <c r="AFL27" s="614">
        <v>2783</v>
      </c>
      <c r="AFM27" s="614">
        <v>13164</v>
      </c>
      <c r="AFN27" s="614">
        <v>638682</v>
      </c>
      <c r="AFO27" s="614">
        <v>2739312</v>
      </c>
      <c r="AFP27" s="763"/>
      <c r="AFQ27" s="763"/>
      <c r="AFR27" s="614">
        <v>7247000</v>
      </c>
      <c r="AFS27" s="614">
        <v>5363000</v>
      </c>
      <c r="AFT27" s="763"/>
      <c r="AFU27" s="763"/>
      <c r="AFV27" s="614"/>
      <c r="AFW27" s="614">
        <v>15245000</v>
      </c>
      <c r="AFX27" s="763">
        <v>1832347748</v>
      </c>
      <c r="AFY27" s="763"/>
      <c r="AFZ27" s="774">
        <v>-78571000</v>
      </c>
      <c r="AGA27" s="774">
        <v>-132261000</v>
      </c>
      <c r="AGB27" s="774">
        <v>-633275000</v>
      </c>
      <c r="AGC27" s="774">
        <v>-343237000</v>
      </c>
      <c r="AGD27" s="774">
        <v>-225009000</v>
      </c>
      <c r="AGE27" s="774">
        <v>-286253000</v>
      </c>
      <c r="AGF27" s="774">
        <v>-194594000</v>
      </c>
      <c r="AGG27" s="774">
        <v>-88005000</v>
      </c>
      <c r="AGH27" s="774">
        <v>-12300293</v>
      </c>
      <c r="AGI27" s="774">
        <v>-22072000</v>
      </c>
      <c r="AGJ27" s="774">
        <v>-2584395</v>
      </c>
      <c r="AGK27" s="774">
        <v>-2180693</v>
      </c>
      <c r="AGL27" s="774">
        <v>-171693000</v>
      </c>
      <c r="AGM27" s="774">
        <v>-444211000</v>
      </c>
      <c r="AGN27" s="774">
        <v>-4197678970</v>
      </c>
      <c r="AGO27" s="774">
        <v>-5865055774</v>
      </c>
      <c r="AGP27" s="774">
        <v>-194594000</v>
      </c>
      <c r="AGQ27" s="774">
        <v>-88005000</v>
      </c>
      <c r="AGR27" s="774">
        <v>-128548350</v>
      </c>
      <c r="AGS27" s="774">
        <v>-107000000</v>
      </c>
      <c r="AGT27" s="774">
        <v>-13164000</v>
      </c>
      <c r="AGU27" s="605"/>
      <c r="AGV27" s="605"/>
      <c r="AGW27" s="774">
        <v>-729797051</v>
      </c>
      <c r="AGX27" s="605" t="s">
        <v>224</v>
      </c>
      <c r="AGY27" s="605" t="s">
        <v>224</v>
      </c>
      <c r="AGZ27" s="774">
        <v>-871187000</v>
      </c>
      <c r="AHA27" s="774">
        <v>-536968000</v>
      </c>
      <c r="AHB27" s="605"/>
      <c r="AHC27" s="774">
        <v>-20287000</v>
      </c>
      <c r="AHD27" s="774">
        <v>-175136360</v>
      </c>
      <c r="AHE27" s="774">
        <v>-323887800</v>
      </c>
      <c r="AHF27" s="774">
        <v>-2865432000</v>
      </c>
      <c r="AHG27" s="774">
        <v>-1647734000</v>
      </c>
      <c r="AHH27" s="774">
        <v>-492230235</v>
      </c>
      <c r="AHI27" s="774">
        <v>-639675162</v>
      </c>
      <c r="AHJ27" s="774">
        <v>-34672000</v>
      </c>
      <c r="AHK27" s="774">
        <v>-32045000</v>
      </c>
      <c r="AHL27" s="774">
        <v>-169272000</v>
      </c>
      <c r="AHM27" s="774">
        <v>-14450000</v>
      </c>
      <c r="AHN27" s="774">
        <v>-310568306</v>
      </c>
      <c r="AHO27" s="774">
        <v>-6116419</v>
      </c>
      <c r="AHP27" s="774">
        <v>-54434000</v>
      </c>
      <c r="AHQ27" s="605"/>
      <c r="AHR27" s="605"/>
      <c r="AHS27" s="605"/>
      <c r="AHT27" s="774">
        <v>-42018000</v>
      </c>
      <c r="AHU27" s="774">
        <v>-95590709</v>
      </c>
      <c r="AHV27" s="605"/>
      <c r="AHW27" s="605"/>
      <c r="AHX27" s="774">
        <v>-65022278</v>
      </c>
      <c r="AHY27" s="774">
        <v>-110485579</v>
      </c>
      <c r="AHZ27" s="774">
        <v>-123945000</v>
      </c>
      <c r="AIA27" s="774">
        <v>-210428000</v>
      </c>
      <c r="AIB27" s="605"/>
      <c r="AIC27" s="605"/>
      <c r="AID27" s="774">
        <v>3777000000</v>
      </c>
      <c r="AIE27" s="774">
        <v>-2664000000</v>
      </c>
      <c r="AIF27" s="605"/>
      <c r="AIG27" s="774">
        <v>-21099000</v>
      </c>
      <c r="AIH27" s="605"/>
      <c r="AII27" s="774">
        <v>-18554290</v>
      </c>
      <c r="AIJ27" s="774">
        <v>-69452000</v>
      </c>
      <c r="AIK27" s="774">
        <v>-172861000</v>
      </c>
      <c r="AIL27" s="774">
        <v>-243446000</v>
      </c>
      <c r="AIM27" s="774">
        <v>-438810000</v>
      </c>
      <c r="AIN27" s="605"/>
      <c r="AIO27" s="774">
        <v>-26539</v>
      </c>
      <c r="AIP27" s="605"/>
      <c r="AIQ27" s="774">
        <v>-5869222</v>
      </c>
      <c r="AIR27" s="774">
        <v>2739312000</v>
      </c>
      <c r="AIS27" s="774">
        <v>-3654396000</v>
      </c>
      <c r="AIT27" s="605"/>
      <c r="AIU27" s="774">
        <v>-550843</v>
      </c>
      <c r="AIV27" s="774">
        <v>-100746000</v>
      </c>
      <c r="AIW27" s="774">
        <v>-114041000</v>
      </c>
      <c r="AIX27" s="774">
        <v>-69871</v>
      </c>
      <c r="AIY27" s="605"/>
      <c r="AIZ27" s="605"/>
      <c r="AJA27" s="605"/>
      <c r="AJB27" s="774">
        <v>2371373000</v>
      </c>
      <c r="AJC27" s="774">
        <v>-289373000</v>
      </c>
      <c r="AJD27" s="605"/>
      <c r="AJE27" s="605"/>
      <c r="AJF27" s="774">
        <v>3777000000</v>
      </c>
      <c r="AJG27" s="774">
        <v>-2664000000</v>
      </c>
      <c r="AJH27" s="774">
        <v>-93039620</v>
      </c>
      <c r="AJI27" s="774">
        <v>-191353314</v>
      </c>
      <c r="AJJ27" s="605"/>
      <c r="AJK27" s="774">
        <v>-2430810000</v>
      </c>
      <c r="AJL27" s="774">
        <v>-20310349</v>
      </c>
      <c r="AJM27" s="774">
        <v>-14031000</v>
      </c>
      <c r="AJN27" s="774">
        <v>-5363000</v>
      </c>
      <c r="AJO27" s="774">
        <v>-142904560</v>
      </c>
    </row>
    <row r="28" spans="1:951" x14ac:dyDescent="0.25">
      <c r="A28" s="90" t="s">
        <v>32</v>
      </c>
      <c r="B28" s="98">
        <v>0</v>
      </c>
      <c r="C28" s="98">
        <v>18743652.688000001</v>
      </c>
      <c r="D28" s="98">
        <v>23798444.147</v>
      </c>
      <c r="E28" s="98">
        <v>4983936</v>
      </c>
      <c r="F28" s="98">
        <v>29702728</v>
      </c>
      <c r="G28" s="98">
        <v>1646565</v>
      </c>
      <c r="H28" s="98">
        <v>1234572</v>
      </c>
      <c r="I28" s="98">
        <v>1397565.6630000002</v>
      </c>
      <c r="J28" s="98">
        <v>1569525</v>
      </c>
      <c r="K28" s="98">
        <v>0</v>
      </c>
      <c r="L28" s="98">
        <v>8423211.2329999991</v>
      </c>
      <c r="M28" s="98">
        <v>10736311.164999999</v>
      </c>
      <c r="N28" s="98">
        <v>11492481.220999999</v>
      </c>
      <c r="O28" s="99">
        <v>12849147</v>
      </c>
      <c r="P28" s="99">
        <v>14074428</v>
      </c>
      <c r="Q28" s="99">
        <v>0</v>
      </c>
      <c r="R28" s="99">
        <v>1061884.6769999999</v>
      </c>
      <c r="S28" s="99">
        <v>1134744</v>
      </c>
      <c r="T28" s="99">
        <v>1263309</v>
      </c>
      <c r="U28" s="99">
        <v>1249300</v>
      </c>
      <c r="V28" s="98">
        <v>0</v>
      </c>
      <c r="W28" s="98">
        <v>0</v>
      </c>
      <c r="X28" s="98">
        <v>1623864</v>
      </c>
      <c r="Y28" s="98">
        <v>2873962</v>
      </c>
      <c r="Z28" s="98">
        <v>3001153</v>
      </c>
      <c r="AA28" s="98">
        <v>0</v>
      </c>
      <c r="AB28" s="98">
        <v>132982.049</v>
      </c>
      <c r="AC28" s="98">
        <v>882113.49300000002</v>
      </c>
      <c r="AD28" s="98">
        <v>1627283</v>
      </c>
      <c r="AE28" s="98">
        <v>1355460</v>
      </c>
      <c r="AF28" s="98">
        <v>623755</v>
      </c>
      <c r="AG28" s="98">
        <v>2487197.4750000006</v>
      </c>
      <c r="AH28" s="98">
        <v>761459.00799999991</v>
      </c>
      <c r="AI28" s="99">
        <v>850562</v>
      </c>
      <c r="AJ28" s="99">
        <v>922853</v>
      </c>
      <c r="AK28" s="98">
        <v>0</v>
      </c>
      <c r="AL28" s="98">
        <v>823338.70200000005</v>
      </c>
      <c r="AM28" s="98">
        <v>776917.44299999997</v>
      </c>
      <c r="AN28" s="98">
        <v>618976</v>
      </c>
      <c r="AO28" s="98">
        <v>1045133</v>
      </c>
      <c r="AP28" s="98">
        <v>0</v>
      </c>
      <c r="AQ28" s="98">
        <v>113102</v>
      </c>
      <c r="AR28" s="98">
        <v>160101</v>
      </c>
      <c r="AS28" s="98">
        <v>311137</v>
      </c>
      <c r="AT28" s="98">
        <v>538463</v>
      </c>
      <c r="AU28" s="98">
        <v>265909</v>
      </c>
      <c r="AV28" s="98">
        <v>674454</v>
      </c>
      <c r="AW28" s="98">
        <v>759321</v>
      </c>
      <c r="AX28" s="98">
        <v>253902</v>
      </c>
      <c r="AY28" s="98">
        <v>0</v>
      </c>
      <c r="AZ28" s="98">
        <v>1247993.882</v>
      </c>
      <c r="BA28" s="98">
        <v>1610445.388</v>
      </c>
      <c r="BB28" s="98">
        <v>1216068.8999999999</v>
      </c>
      <c r="BC28" s="98">
        <v>572008</v>
      </c>
      <c r="BD28" s="98">
        <v>179265</v>
      </c>
      <c r="BE28" s="98">
        <v>0</v>
      </c>
      <c r="BF28" s="98">
        <v>1512233.574</v>
      </c>
      <c r="BG28" s="98">
        <v>2142504.7919999999</v>
      </c>
      <c r="BH28" s="98">
        <v>2718069</v>
      </c>
      <c r="BI28" s="98">
        <v>3226072</v>
      </c>
      <c r="BJ28" s="98">
        <v>0</v>
      </c>
      <c r="BK28" s="98">
        <v>0</v>
      </c>
      <c r="BL28" s="98">
        <v>0</v>
      </c>
      <c r="BM28" s="98">
        <v>0</v>
      </c>
      <c r="BN28" s="98">
        <v>1686119</v>
      </c>
      <c r="BO28" s="98">
        <v>0</v>
      </c>
      <c r="BP28" s="98">
        <v>0</v>
      </c>
      <c r="BQ28" s="98">
        <v>366038</v>
      </c>
      <c r="BR28" s="98">
        <v>972330</v>
      </c>
      <c r="BS28" s="98">
        <v>1569775</v>
      </c>
      <c r="BT28" s="98">
        <v>386071.728</v>
      </c>
      <c r="BU28" s="98">
        <v>425837.45600000001</v>
      </c>
      <c r="BV28" s="98">
        <v>536975</v>
      </c>
      <c r="BW28" s="98">
        <v>623852</v>
      </c>
      <c r="BX28" s="98">
        <v>86917</v>
      </c>
      <c r="BY28" s="98">
        <v>0</v>
      </c>
      <c r="BZ28" s="98">
        <v>5212694.983</v>
      </c>
      <c r="CA28" s="98">
        <v>3809983.497</v>
      </c>
      <c r="CB28" s="98">
        <v>5840638</v>
      </c>
      <c r="CC28" s="98">
        <v>5329736</v>
      </c>
      <c r="CD28" s="98">
        <v>148220.06899999999</v>
      </c>
      <c r="CE28" s="98">
        <v>197231.986</v>
      </c>
      <c r="CF28" s="98">
        <v>56704.530999999995</v>
      </c>
      <c r="CG28" s="98">
        <v>198420</v>
      </c>
      <c r="CH28" s="98">
        <v>461968</v>
      </c>
      <c r="CI28" s="98">
        <v>0</v>
      </c>
      <c r="CJ28" s="98">
        <v>0</v>
      </c>
      <c r="CK28" s="98">
        <v>2240.6759999999999</v>
      </c>
      <c r="CL28" s="98">
        <v>1128710</v>
      </c>
      <c r="CM28" s="98">
        <v>0</v>
      </c>
      <c r="CN28" s="98">
        <v>0</v>
      </c>
      <c r="CO28" s="98">
        <v>0</v>
      </c>
      <c r="CP28" s="98">
        <v>2877091.95</v>
      </c>
      <c r="CQ28" s="98">
        <v>2998992</v>
      </c>
      <c r="CR28" s="98">
        <v>3199880</v>
      </c>
      <c r="CS28" s="98">
        <v>0</v>
      </c>
      <c r="CT28" s="98">
        <v>165481.19700000001</v>
      </c>
      <c r="CU28" s="98">
        <v>318423</v>
      </c>
      <c r="CV28" s="98">
        <v>0</v>
      </c>
      <c r="CW28" s="98">
        <v>511931</v>
      </c>
      <c r="CX28" s="98">
        <v>0</v>
      </c>
      <c r="CY28" s="98">
        <v>46466</v>
      </c>
      <c r="CZ28" s="98">
        <v>45394</v>
      </c>
      <c r="DA28" s="99">
        <v>61746</v>
      </c>
      <c r="DB28" s="99">
        <v>61874</v>
      </c>
      <c r="DC28" s="98">
        <v>67576</v>
      </c>
      <c r="DD28" s="98">
        <v>165656</v>
      </c>
      <c r="DE28" s="98">
        <v>179889</v>
      </c>
      <c r="DF28" s="98">
        <v>469713</v>
      </c>
      <c r="DG28" s="98">
        <v>587086</v>
      </c>
      <c r="DH28" s="98">
        <v>0</v>
      </c>
      <c r="DI28" s="98">
        <v>0</v>
      </c>
      <c r="DJ28" s="98">
        <v>0</v>
      </c>
      <c r="DK28" s="98">
        <v>0</v>
      </c>
      <c r="DL28" s="98">
        <v>76603</v>
      </c>
      <c r="DM28" s="101">
        <v>5202265</v>
      </c>
      <c r="DN28" s="98">
        <v>4306388</v>
      </c>
      <c r="DO28" s="98">
        <v>5310128</v>
      </c>
      <c r="DP28" s="98">
        <v>6784331</v>
      </c>
      <c r="DQ28" s="98">
        <v>6621948</v>
      </c>
      <c r="DR28" s="98">
        <v>75944503.505999997</v>
      </c>
      <c r="DS28" s="98">
        <v>77645988.502999991</v>
      </c>
      <c r="DT28" s="98">
        <v>201557225.192</v>
      </c>
      <c r="DU28" s="98">
        <v>432637995</v>
      </c>
      <c r="DV28" s="98">
        <v>434967284</v>
      </c>
      <c r="DW28" s="98">
        <v>1017812.504</v>
      </c>
      <c r="DX28" s="98">
        <v>753450.17500000005</v>
      </c>
      <c r="DY28" s="98">
        <v>1334976.6629999999</v>
      </c>
      <c r="DZ28" s="98">
        <v>1585749</v>
      </c>
      <c r="EA28" s="98">
        <v>1313799</v>
      </c>
      <c r="EB28" s="98">
        <v>0</v>
      </c>
      <c r="EC28" s="98">
        <v>0</v>
      </c>
      <c r="ED28" s="98">
        <v>0</v>
      </c>
      <c r="EE28" s="98">
        <v>0</v>
      </c>
      <c r="EF28" s="98">
        <v>175961</v>
      </c>
      <c r="EG28" s="98">
        <v>0</v>
      </c>
      <c r="EH28" s="98">
        <v>0</v>
      </c>
      <c r="EI28" s="98">
        <v>0</v>
      </c>
      <c r="EJ28" s="98">
        <v>1128766</v>
      </c>
      <c r="EK28" s="98">
        <v>232989</v>
      </c>
      <c r="EL28" s="98">
        <v>0</v>
      </c>
      <c r="EM28" s="98">
        <v>0</v>
      </c>
      <c r="EN28" s="98">
        <v>0</v>
      </c>
      <c r="EO28" s="98">
        <v>381241</v>
      </c>
      <c r="EP28" s="98">
        <v>718732</v>
      </c>
      <c r="EQ28" s="98">
        <v>0</v>
      </c>
      <c r="ER28" s="98">
        <v>0</v>
      </c>
      <c r="ES28" s="98">
        <v>0</v>
      </c>
      <c r="ET28" s="98">
        <v>0</v>
      </c>
      <c r="EU28" s="98">
        <v>1472888</v>
      </c>
      <c r="EV28" s="98">
        <v>1528605</v>
      </c>
      <c r="EW28" s="98">
        <v>1400767</v>
      </c>
      <c r="EX28" s="99">
        <v>14074428</v>
      </c>
      <c r="EY28" s="99">
        <v>12768326</v>
      </c>
      <c r="EZ28" s="99">
        <v>1249300</v>
      </c>
      <c r="FA28" s="99">
        <v>1544509</v>
      </c>
      <c r="FB28" s="98">
        <v>1355460</v>
      </c>
      <c r="FC28" s="98">
        <v>1767140</v>
      </c>
      <c r="FD28" s="99">
        <v>922853</v>
      </c>
      <c r="FE28" s="98">
        <v>698390</v>
      </c>
      <c r="FF28" s="98">
        <v>1045133</v>
      </c>
      <c r="FG28" s="98">
        <v>822015</v>
      </c>
      <c r="FH28" s="98">
        <v>538463</v>
      </c>
      <c r="FI28" s="98">
        <v>0</v>
      </c>
      <c r="FJ28" s="98">
        <v>0</v>
      </c>
      <c r="FK28" s="98">
        <v>0</v>
      </c>
      <c r="FL28" s="98">
        <v>0</v>
      </c>
      <c r="FM28" s="98">
        <v>904022</v>
      </c>
      <c r="FN28" s="98">
        <v>1569775</v>
      </c>
      <c r="FO28" s="98">
        <v>1172616</v>
      </c>
      <c r="FP28" s="98">
        <v>3226072</v>
      </c>
      <c r="FQ28" s="98">
        <v>3613481</v>
      </c>
      <c r="FR28" s="98">
        <v>86917</v>
      </c>
      <c r="FS28" s="98">
        <v>0</v>
      </c>
      <c r="FT28" s="98">
        <v>179265</v>
      </c>
      <c r="FU28" s="98">
        <v>135145</v>
      </c>
      <c r="FV28" s="98">
        <v>5329736</v>
      </c>
      <c r="FW28" s="99">
        <v>4118343</v>
      </c>
      <c r="FX28" s="98">
        <v>175961</v>
      </c>
      <c r="FY28" s="98">
        <v>492665</v>
      </c>
      <c r="FZ28" s="98">
        <v>3001153</v>
      </c>
      <c r="GA28" s="98">
        <v>3300861</v>
      </c>
      <c r="GB28" s="98">
        <v>1686119</v>
      </c>
      <c r="GC28" s="98">
        <v>1611419</v>
      </c>
      <c r="GD28" s="98">
        <v>461968</v>
      </c>
      <c r="GE28" s="98">
        <v>988719</v>
      </c>
      <c r="GF28" s="98"/>
      <c r="GG28" s="98"/>
      <c r="GH28" s="98">
        <v>3199880</v>
      </c>
      <c r="GI28" s="98">
        <v>3171171</v>
      </c>
      <c r="GJ28" s="98">
        <v>14190</v>
      </c>
      <c r="GK28" s="98">
        <v>13700</v>
      </c>
      <c r="GL28" s="98">
        <v>24847609</v>
      </c>
      <c r="GM28" s="98">
        <v>19103242</v>
      </c>
      <c r="GN28" s="98">
        <v>6561476</v>
      </c>
      <c r="GO28" s="98">
        <v>4462705</v>
      </c>
      <c r="GP28" s="98">
        <v>14291</v>
      </c>
      <c r="GQ28" s="98">
        <v>43921</v>
      </c>
      <c r="GR28" s="98"/>
      <c r="GS28" s="98"/>
      <c r="GT28" s="98">
        <v>3812653</v>
      </c>
      <c r="GU28" s="98">
        <v>2806986</v>
      </c>
      <c r="GV28" s="98">
        <v>0</v>
      </c>
      <c r="GW28" s="98">
        <v>0</v>
      </c>
      <c r="GX28" s="98">
        <v>1907984</v>
      </c>
      <c r="GY28" s="98">
        <v>928929</v>
      </c>
      <c r="GZ28" s="98">
        <v>65740974</v>
      </c>
      <c r="HA28" s="98">
        <v>101546892</v>
      </c>
      <c r="HB28" s="98">
        <v>5547975</v>
      </c>
      <c r="HC28" s="98">
        <v>5734599</v>
      </c>
      <c r="HD28" s="98">
        <v>1948405</v>
      </c>
      <c r="HE28" s="98">
        <v>1881875</v>
      </c>
      <c r="HF28" s="98">
        <v>10399911</v>
      </c>
      <c r="HG28" s="98">
        <v>10761604</v>
      </c>
      <c r="HH28" s="98">
        <v>181002689</v>
      </c>
      <c r="HI28" s="98">
        <v>217040116</v>
      </c>
      <c r="HJ28" s="98">
        <v>4259246</v>
      </c>
      <c r="HK28" s="98">
        <v>3512670</v>
      </c>
      <c r="HL28" s="98">
        <v>4726748</v>
      </c>
      <c r="HM28" s="98">
        <v>18449756</v>
      </c>
      <c r="HN28" s="98">
        <v>718569</v>
      </c>
      <c r="HO28" s="98">
        <v>836569</v>
      </c>
      <c r="HP28" s="98">
        <v>12423</v>
      </c>
      <c r="HQ28" s="98">
        <v>329510</v>
      </c>
      <c r="HR28" s="98">
        <v>3809462</v>
      </c>
      <c r="HS28" s="98">
        <v>3863898</v>
      </c>
      <c r="HT28" s="98">
        <v>232989</v>
      </c>
      <c r="HU28" s="98">
        <v>0</v>
      </c>
      <c r="HV28" s="98">
        <v>718732</v>
      </c>
      <c r="HW28" s="98">
        <v>483147</v>
      </c>
      <c r="HX28" s="98">
        <v>9031534</v>
      </c>
      <c r="HY28" s="98">
        <v>11284260</v>
      </c>
      <c r="HZ28" s="98">
        <v>10781953</v>
      </c>
      <c r="IA28" s="98">
        <v>13060959</v>
      </c>
      <c r="IB28" s="98">
        <v>4274199</v>
      </c>
      <c r="IC28" s="98">
        <v>4147076</v>
      </c>
      <c r="ID28" s="98">
        <v>31582289</v>
      </c>
      <c r="IE28" s="98">
        <v>24840066</v>
      </c>
      <c r="IF28" s="98">
        <v>7608138</v>
      </c>
      <c r="IG28" s="98">
        <v>8830039</v>
      </c>
      <c r="IH28" s="98">
        <v>1204545</v>
      </c>
      <c r="II28" s="98">
        <v>1358255</v>
      </c>
      <c r="IJ28" s="98">
        <v>7254208</v>
      </c>
      <c r="IK28" s="98">
        <v>8232706</v>
      </c>
      <c r="IL28" s="98">
        <v>1472888</v>
      </c>
      <c r="IM28" s="98">
        <v>3196951</v>
      </c>
      <c r="IN28" s="98">
        <v>0</v>
      </c>
      <c r="IO28" s="98">
        <v>0</v>
      </c>
      <c r="IP28" s="99">
        <v>61874</v>
      </c>
      <c r="IQ28" s="98">
        <v>62769</v>
      </c>
      <c r="IR28" s="98">
        <v>587086</v>
      </c>
      <c r="IS28" s="98">
        <v>185339</v>
      </c>
      <c r="IT28" s="98">
        <v>76603</v>
      </c>
      <c r="IU28" s="98">
        <v>355110</v>
      </c>
      <c r="IV28" s="98">
        <v>6621948</v>
      </c>
      <c r="IW28" s="98">
        <v>6621948</v>
      </c>
      <c r="IX28" s="98">
        <v>434967284</v>
      </c>
      <c r="IY28" s="98">
        <v>448971982</v>
      </c>
      <c r="IZ28" s="98">
        <v>1313799</v>
      </c>
      <c r="JA28" s="98">
        <v>1473565</v>
      </c>
      <c r="JB28" s="98">
        <v>1400767</v>
      </c>
      <c r="JC28" s="98">
        <v>1489047</v>
      </c>
      <c r="JD28" s="99">
        <v>12768326</v>
      </c>
      <c r="JE28" s="99">
        <v>10804261</v>
      </c>
      <c r="JF28" s="99">
        <v>1544509</v>
      </c>
      <c r="JG28" s="99">
        <v>1280365</v>
      </c>
      <c r="JH28" s="98">
        <v>1767140</v>
      </c>
      <c r="JI28" s="98">
        <v>1805712</v>
      </c>
      <c r="JJ28" s="99">
        <v>698391</v>
      </c>
      <c r="JK28" s="98">
        <v>858276</v>
      </c>
      <c r="JL28" s="98">
        <v>822015</v>
      </c>
      <c r="JM28" s="98">
        <v>1039689</v>
      </c>
      <c r="JN28" s="98">
        <v>516749</v>
      </c>
      <c r="JO28" s="98">
        <v>0</v>
      </c>
      <c r="JP28" s="98">
        <v>0</v>
      </c>
      <c r="JQ28" s="98">
        <v>0</v>
      </c>
      <c r="JR28" s="98">
        <v>904022</v>
      </c>
      <c r="JS28" s="98">
        <v>762413</v>
      </c>
      <c r="JT28" s="98">
        <v>1172616</v>
      </c>
      <c r="JU28" s="98">
        <v>945625</v>
      </c>
      <c r="JV28" s="98">
        <v>3613481</v>
      </c>
      <c r="JW28" s="98">
        <v>2934946</v>
      </c>
      <c r="JX28" s="98">
        <v>0</v>
      </c>
      <c r="JY28" s="98">
        <v>0</v>
      </c>
      <c r="JZ28" s="98">
        <v>135145</v>
      </c>
      <c r="KA28" s="98">
        <v>859935</v>
      </c>
      <c r="KB28" s="98">
        <v>4118343</v>
      </c>
      <c r="KC28" s="99">
        <v>3285146</v>
      </c>
      <c r="KD28" s="98">
        <v>492665</v>
      </c>
      <c r="KE28" s="98">
        <v>598754</v>
      </c>
      <c r="KF28" s="98">
        <v>3300861</v>
      </c>
      <c r="KG28" s="98">
        <v>2452766</v>
      </c>
      <c r="KH28" s="98">
        <v>1611419</v>
      </c>
      <c r="KI28" s="98">
        <v>0</v>
      </c>
      <c r="KJ28" s="98">
        <v>988719</v>
      </c>
      <c r="KK28" s="98">
        <v>1195050</v>
      </c>
      <c r="KL28" s="98">
        <v>501111</v>
      </c>
      <c r="KM28" s="98">
        <v>0</v>
      </c>
      <c r="KN28" s="98">
        <v>3171171</v>
      </c>
      <c r="KO28" s="98">
        <v>2954123</v>
      </c>
      <c r="KP28" s="98">
        <v>13700</v>
      </c>
      <c r="KQ28" s="98">
        <v>0</v>
      </c>
      <c r="KR28" s="98">
        <v>19103242</v>
      </c>
      <c r="KS28" s="98">
        <v>14862965</v>
      </c>
      <c r="KT28" s="98">
        <v>4462705</v>
      </c>
      <c r="KU28" s="98">
        <v>1524792</v>
      </c>
      <c r="KV28" s="98">
        <v>0</v>
      </c>
      <c r="KW28" s="98">
        <v>0</v>
      </c>
      <c r="KX28" s="98">
        <v>60167</v>
      </c>
      <c r="KY28" s="98">
        <v>0</v>
      </c>
      <c r="KZ28" s="98">
        <v>2806986</v>
      </c>
      <c r="LA28" s="98">
        <v>2787400</v>
      </c>
      <c r="LB28" s="98">
        <v>0</v>
      </c>
      <c r="LC28" s="98">
        <v>326115</v>
      </c>
      <c r="LD28" s="98">
        <v>928929</v>
      </c>
      <c r="LE28" s="98">
        <v>2043546</v>
      </c>
      <c r="LF28" s="98">
        <v>101546892</v>
      </c>
      <c r="LG28" s="98">
        <v>85619198</v>
      </c>
      <c r="LH28" s="98">
        <v>5734599</v>
      </c>
      <c r="LI28" s="98">
        <v>6541623</v>
      </c>
      <c r="LJ28" s="98">
        <v>1881875</v>
      </c>
      <c r="LK28" s="98">
        <v>2132837</v>
      </c>
      <c r="LL28" s="98">
        <v>10761604</v>
      </c>
      <c r="LM28" s="98">
        <v>5169981</v>
      </c>
      <c r="LN28" s="98">
        <v>217040116</v>
      </c>
      <c r="LO28" s="98">
        <v>210209434</v>
      </c>
      <c r="LP28" s="98">
        <v>3512670</v>
      </c>
      <c r="LQ28" s="98">
        <v>551214</v>
      </c>
      <c r="LR28" s="98">
        <v>18449756</v>
      </c>
      <c r="LS28" s="98">
        <v>36510000</v>
      </c>
      <c r="LT28" s="98">
        <v>836569</v>
      </c>
      <c r="LU28" s="98">
        <v>643960</v>
      </c>
      <c r="LV28" s="98">
        <v>329510</v>
      </c>
      <c r="LW28" s="98">
        <v>475228</v>
      </c>
      <c r="LX28" s="98">
        <v>3863898</v>
      </c>
      <c r="LY28" s="98">
        <v>8802700</v>
      </c>
      <c r="LZ28" s="98">
        <v>0</v>
      </c>
      <c r="MA28" s="98">
        <v>0</v>
      </c>
      <c r="MB28" s="98">
        <v>483147</v>
      </c>
      <c r="MC28" s="98">
        <v>593205</v>
      </c>
      <c r="MD28" s="98">
        <v>11284260</v>
      </c>
      <c r="ME28" s="98">
        <v>7507757</v>
      </c>
      <c r="MF28" s="98">
        <v>13060959</v>
      </c>
      <c r="MG28" s="98">
        <v>18173283</v>
      </c>
      <c r="MH28" s="98">
        <v>4147076</v>
      </c>
      <c r="MI28" s="98">
        <v>3803685</v>
      </c>
      <c r="MJ28" s="98">
        <v>24840066</v>
      </c>
      <c r="MK28" s="98">
        <v>25841031</v>
      </c>
      <c r="ML28" s="98">
        <v>8830039</v>
      </c>
      <c r="MM28" s="98">
        <v>8314567</v>
      </c>
      <c r="MN28" s="98">
        <v>1358255</v>
      </c>
      <c r="MO28" s="98">
        <v>2027817</v>
      </c>
      <c r="MP28" s="98">
        <v>8232706</v>
      </c>
      <c r="MQ28" s="98">
        <v>11432620</v>
      </c>
      <c r="MR28" s="98">
        <v>3196951</v>
      </c>
      <c r="MS28" s="98">
        <v>4727379</v>
      </c>
      <c r="MT28" s="98">
        <v>433324</v>
      </c>
      <c r="MU28" s="98">
        <v>433324</v>
      </c>
      <c r="MV28" s="98">
        <v>62769</v>
      </c>
      <c r="MW28" s="98">
        <v>130117</v>
      </c>
      <c r="MX28" s="98">
        <v>185339</v>
      </c>
      <c r="MY28" s="98">
        <v>335769</v>
      </c>
      <c r="MZ28" s="98">
        <v>355110</v>
      </c>
      <c r="NA28" s="98">
        <v>617538</v>
      </c>
      <c r="NB28" s="98">
        <v>6621948</v>
      </c>
      <c r="NC28" s="98">
        <v>5866227</v>
      </c>
      <c r="ND28" s="98">
        <v>448971982</v>
      </c>
      <c r="NE28" s="98">
        <v>226683512</v>
      </c>
      <c r="NF28" s="98">
        <v>1473565</v>
      </c>
      <c r="NG28" s="98">
        <v>1681699</v>
      </c>
      <c r="NH28" s="759">
        <v>1489047</v>
      </c>
      <c r="NI28" s="759">
        <f t="shared" ref="NI28:OQ28" si="15">SUM(NI25:NI27)</f>
        <v>972660</v>
      </c>
      <c r="NJ28" s="393">
        <f>SUM(NJ25:NJ27)</f>
        <v>15193497</v>
      </c>
      <c r="NK28" s="393">
        <f t="shared" si="15"/>
        <v>10245512</v>
      </c>
      <c r="NL28" s="393">
        <v>1280365</v>
      </c>
      <c r="NM28" s="393">
        <f t="shared" si="15"/>
        <v>718954</v>
      </c>
      <c r="NN28" s="759">
        <f>SUM(NN25:NN27)</f>
        <v>1802439</v>
      </c>
      <c r="NO28" s="759">
        <f t="shared" si="15"/>
        <v>2118704</v>
      </c>
      <c r="NP28" s="393">
        <v>858276</v>
      </c>
      <c r="NQ28" s="759">
        <f t="shared" si="15"/>
        <v>1012107</v>
      </c>
      <c r="NR28" s="759">
        <v>1039689</v>
      </c>
      <c r="NS28" s="759">
        <f t="shared" si="15"/>
        <v>995996</v>
      </c>
      <c r="NT28" s="759">
        <v>516749</v>
      </c>
      <c r="NU28" s="759">
        <f t="shared" si="15"/>
        <v>0</v>
      </c>
      <c r="NV28" s="759">
        <f t="shared" si="15"/>
        <v>0</v>
      </c>
      <c r="NW28" s="759">
        <f t="shared" si="15"/>
        <v>0</v>
      </c>
      <c r="NX28" s="759">
        <f t="shared" si="15"/>
        <v>781948</v>
      </c>
      <c r="NY28" s="759">
        <f t="shared" si="15"/>
        <v>1144514</v>
      </c>
      <c r="NZ28" s="759">
        <f>SUM(NZ25:NZ27)</f>
        <v>945625</v>
      </c>
      <c r="OA28" s="759">
        <f t="shared" si="15"/>
        <v>1128047</v>
      </c>
      <c r="OB28" s="759">
        <v>2934946</v>
      </c>
      <c r="OC28" s="759">
        <f>SUM(OC25:OC27)</f>
        <v>1850788</v>
      </c>
      <c r="OD28" s="759">
        <v>0</v>
      </c>
      <c r="OE28" s="759">
        <f t="shared" si="15"/>
        <v>0</v>
      </c>
      <c r="OF28" s="759">
        <f>SUM(OF25:OF27)</f>
        <v>884104</v>
      </c>
      <c r="OG28" s="759">
        <f t="shared" si="15"/>
        <v>981206</v>
      </c>
      <c r="OH28" s="759">
        <v>3285146</v>
      </c>
      <c r="OI28" s="393">
        <f t="shared" si="15"/>
        <v>2288849</v>
      </c>
      <c r="OJ28" s="759">
        <v>598754</v>
      </c>
      <c r="OK28" s="759">
        <f t="shared" si="15"/>
        <v>1424101</v>
      </c>
      <c r="OL28" s="759">
        <f>SUM(OL25:OL27)</f>
        <v>2452766</v>
      </c>
      <c r="OM28" s="759">
        <f t="shared" si="15"/>
        <v>2556760</v>
      </c>
      <c r="ON28" s="759">
        <f>SUM(ON25:ON27)</f>
        <v>0</v>
      </c>
      <c r="OO28" s="759">
        <f t="shared" si="15"/>
        <v>1996359</v>
      </c>
      <c r="OP28" s="759">
        <v>1195050</v>
      </c>
      <c r="OQ28" s="759">
        <f t="shared" si="15"/>
        <v>563817</v>
      </c>
      <c r="OR28" s="759">
        <v>0</v>
      </c>
      <c r="OS28" s="759">
        <f>SUM(OS25:OS27)</f>
        <v>0</v>
      </c>
      <c r="OT28" s="759">
        <v>2954123</v>
      </c>
      <c r="OU28" s="759">
        <f t="shared" ref="OU28:PE28" si="16">SUM(OU25:OU27)</f>
        <v>1857971</v>
      </c>
      <c r="OV28" s="759">
        <f>SUM(OV25:OV27)</f>
        <v>0</v>
      </c>
      <c r="OW28" s="759">
        <f t="shared" si="16"/>
        <v>414479</v>
      </c>
      <c r="OX28" s="759">
        <v>14862965</v>
      </c>
      <c r="OY28" s="759">
        <f t="shared" si="16"/>
        <v>22003673</v>
      </c>
      <c r="OZ28" s="759">
        <v>1524792</v>
      </c>
      <c r="PA28" s="759">
        <f t="shared" si="16"/>
        <v>530984</v>
      </c>
      <c r="PB28" s="759">
        <f>SUM(PB25:PB27)</f>
        <v>140209</v>
      </c>
      <c r="PC28" s="759">
        <f>SUM(PC25:PC27)</f>
        <v>136764</v>
      </c>
      <c r="PD28" s="759">
        <f>SUM(PD25:PD27)</f>
        <v>0</v>
      </c>
      <c r="PE28" s="759">
        <f t="shared" si="16"/>
        <v>0</v>
      </c>
      <c r="PF28" s="759">
        <v>2787400</v>
      </c>
      <c r="PG28" s="759">
        <f>SUM(PG25:PG27)</f>
        <v>3462966</v>
      </c>
      <c r="PH28" s="759">
        <v>326115</v>
      </c>
      <c r="PI28" s="759">
        <f>SUM(PI25:PI27)</f>
        <v>0</v>
      </c>
      <c r="PJ28" s="759">
        <v>2043546</v>
      </c>
      <c r="PK28" s="759">
        <f t="shared" ref="PK28:PQ28" si="17">SUM(PK25:PK27)</f>
        <v>2539743</v>
      </c>
      <c r="PL28" s="759">
        <f t="shared" si="17"/>
        <v>68601147</v>
      </c>
      <c r="PM28" s="759">
        <f t="shared" si="17"/>
        <v>58381619</v>
      </c>
      <c r="PN28" s="759">
        <f t="shared" si="17"/>
        <v>6494325</v>
      </c>
      <c r="PO28" s="759">
        <f t="shared" si="17"/>
        <v>8355995</v>
      </c>
      <c r="PP28" s="759">
        <f t="shared" si="17"/>
        <v>2135848</v>
      </c>
      <c r="PQ28" s="759">
        <f t="shared" si="17"/>
        <v>2030911</v>
      </c>
      <c r="PR28" s="759">
        <v>5169981</v>
      </c>
      <c r="PS28" s="759">
        <f t="shared" ref="PS28:PY28" si="18">SUM(PS25:PS27)</f>
        <v>3372746</v>
      </c>
      <c r="PT28" s="759">
        <f t="shared" si="18"/>
        <v>208579313</v>
      </c>
      <c r="PU28" s="759">
        <f t="shared" si="18"/>
        <v>224506638</v>
      </c>
      <c r="PV28" s="759">
        <f t="shared" si="18"/>
        <v>3512670</v>
      </c>
      <c r="PW28" s="759">
        <f t="shared" si="18"/>
        <v>551214</v>
      </c>
      <c r="PX28" s="759">
        <f t="shared" si="18"/>
        <v>37445000</v>
      </c>
      <c r="PY28" s="759">
        <f t="shared" si="18"/>
        <v>42629000</v>
      </c>
      <c r="PZ28" s="759">
        <v>643960</v>
      </c>
      <c r="QA28" s="759">
        <f t="shared" ref="QA28:QI28" si="19">SUM(QA25:QA27)</f>
        <v>850845</v>
      </c>
      <c r="QB28" s="759">
        <v>475228</v>
      </c>
      <c r="QC28" s="759">
        <f t="shared" si="19"/>
        <v>926471</v>
      </c>
      <c r="QD28" s="759">
        <v>8802700</v>
      </c>
      <c r="QE28" s="759">
        <f t="shared" si="19"/>
        <v>8519588</v>
      </c>
      <c r="QF28" s="759">
        <f t="shared" si="19"/>
        <v>0</v>
      </c>
      <c r="QG28" s="759">
        <f t="shared" si="19"/>
        <v>0</v>
      </c>
      <c r="QH28" s="759">
        <v>593205</v>
      </c>
      <c r="QI28" s="759">
        <f t="shared" si="19"/>
        <v>679140</v>
      </c>
      <c r="QJ28" s="759">
        <v>7507757</v>
      </c>
      <c r="QK28" s="759">
        <f t="shared" ref="QK28:RK28" si="20">SUM(QK25:QK27)</f>
        <v>6386720</v>
      </c>
      <c r="QL28" s="759">
        <v>18173283</v>
      </c>
      <c r="QM28" s="759">
        <f t="shared" si="20"/>
        <v>23857629</v>
      </c>
      <c r="QN28" s="759">
        <f t="shared" si="20"/>
        <v>4147076</v>
      </c>
      <c r="QO28" s="759">
        <f t="shared" si="20"/>
        <v>3803685</v>
      </c>
      <c r="QP28" s="759">
        <v>25841031</v>
      </c>
      <c r="QQ28" s="759">
        <f t="shared" si="20"/>
        <v>32368701</v>
      </c>
      <c r="QR28" s="759">
        <v>8314567</v>
      </c>
      <c r="QS28" s="759">
        <f t="shared" si="20"/>
        <v>9178347</v>
      </c>
      <c r="QT28" s="759">
        <v>2027817</v>
      </c>
      <c r="QU28" s="759">
        <f t="shared" si="20"/>
        <v>1183421</v>
      </c>
      <c r="QV28" s="759">
        <f t="shared" si="20"/>
        <v>8232706</v>
      </c>
      <c r="QW28" s="759">
        <f t="shared" si="20"/>
        <v>11432620</v>
      </c>
      <c r="QX28" s="759">
        <f>SUM(QX25:QX27)</f>
        <v>4336020</v>
      </c>
      <c r="QY28" s="759">
        <f t="shared" si="20"/>
        <v>3903459</v>
      </c>
      <c r="QZ28" s="759">
        <f t="shared" si="20"/>
        <v>433324</v>
      </c>
      <c r="RA28" s="759">
        <f t="shared" si="20"/>
        <v>433324</v>
      </c>
      <c r="RB28" s="759">
        <v>130117</v>
      </c>
      <c r="RC28" s="759">
        <f t="shared" si="20"/>
        <v>236853</v>
      </c>
      <c r="RD28" s="759">
        <f t="shared" si="20"/>
        <v>185339</v>
      </c>
      <c r="RE28" s="759">
        <f t="shared" si="20"/>
        <v>335769</v>
      </c>
      <c r="RF28" s="759">
        <v>617538</v>
      </c>
      <c r="RG28" s="759">
        <f t="shared" si="20"/>
        <v>0</v>
      </c>
      <c r="RH28" s="759">
        <f t="shared" si="20"/>
        <v>6621948</v>
      </c>
      <c r="RI28" s="759">
        <f t="shared" si="20"/>
        <v>5866227</v>
      </c>
      <c r="RJ28" s="759">
        <f t="shared" si="20"/>
        <v>239209848</v>
      </c>
      <c r="RK28" s="759">
        <f t="shared" si="20"/>
        <v>157180898</v>
      </c>
      <c r="RL28" s="759">
        <v>1681699</v>
      </c>
      <c r="RM28" s="759">
        <f>SUM(RM25:RM27)</f>
        <v>1721878</v>
      </c>
      <c r="RN28" s="98">
        <v>1065111</v>
      </c>
      <c r="RO28" s="98">
        <v>963495</v>
      </c>
      <c r="RP28" s="98">
        <v>10215438</v>
      </c>
      <c r="RQ28" s="98">
        <v>10177684</v>
      </c>
      <c r="RR28" s="99">
        <v>718954</v>
      </c>
      <c r="RS28" s="98">
        <v>757718</v>
      </c>
      <c r="RT28" s="98">
        <v>2118704</v>
      </c>
      <c r="RU28" s="98">
        <v>2158413</v>
      </c>
      <c r="RV28" s="98">
        <v>1012107</v>
      </c>
      <c r="RW28" s="98">
        <v>827654</v>
      </c>
      <c r="RX28" s="98">
        <v>1002264</v>
      </c>
      <c r="RY28" s="98">
        <v>274548</v>
      </c>
      <c r="RZ28" s="98">
        <v>0</v>
      </c>
      <c r="SA28" s="98">
        <v>0</v>
      </c>
      <c r="SB28" s="98">
        <v>0</v>
      </c>
      <c r="SC28" s="98">
        <v>0</v>
      </c>
      <c r="SD28" s="98">
        <v>1144514</v>
      </c>
      <c r="SE28" s="98">
        <v>856875</v>
      </c>
      <c r="SF28" s="98">
        <v>1136092</v>
      </c>
      <c r="SG28" s="98">
        <v>1402670</v>
      </c>
      <c r="SH28" s="98">
        <v>1850788</v>
      </c>
      <c r="SI28" s="98">
        <v>1847097</v>
      </c>
      <c r="SJ28" s="98">
        <v>0</v>
      </c>
      <c r="SK28" s="98">
        <v>0</v>
      </c>
      <c r="SL28" s="98">
        <v>981206</v>
      </c>
      <c r="SM28" s="98">
        <v>1339734</v>
      </c>
      <c r="SN28" s="99">
        <v>2288849</v>
      </c>
      <c r="SO28" s="98">
        <v>1462112</v>
      </c>
      <c r="SP28" s="98">
        <v>1424101</v>
      </c>
      <c r="SQ28" s="98">
        <v>1238550</v>
      </c>
      <c r="SR28" s="98">
        <v>2417204</v>
      </c>
      <c r="SS28" s="98">
        <v>2551997</v>
      </c>
      <c r="ST28" s="98">
        <v>1996359</v>
      </c>
      <c r="SU28" s="98"/>
      <c r="SV28" s="98">
        <v>551470</v>
      </c>
      <c r="SW28" s="98">
        <v>1645296</v>
      </c>
      <c r="SX28" s="98">
        <v>0</v>
      </c>
      <c r="SY28" s="98">
        <v>195395</v>
      </c>
      <c r="SZ28" s="98">
        <v>1857971</v>
      </c>
      <c r="TA28" s="98">
        <v>1698541</v>
      </c>
      <c r="TB28" s="98">
        <v>414479</v>
      </c>
      <c r="TC28" s="98">
        <v>0</v>
      </c>
      <c r="TD28" s="98">
        <v>18294228</v>
      </c>
      <c r="TE28" s="98">
        <v>19910163</v>
      </c>
      <c r="TF28" s="98">
        <v>522571</v>
      </c>
      <c r="TG28" s="98">
        <v>330105</v>
      </c>
      <c r="TH28" s="98">
        <v>98694</v>
      </c>
      <c r="TI28" s="98">
        <v>232274</v>
      </c>
      <c r="TJ28" s="98">
        <v>0</v>
      </c>
      <c r="TK28" s="98">
        <v>0</v>
      </c>
      <c r="TL28" s="98">
        <v>3283332</v>
      </c>
      <c r="TM28" s="98">
        <v>3148203</v>
      </c>
      <c r="TN28" s="98">
        <v>0</v>
      </c>
      <c r="TO28" s="98">
        <v>288952</v>
      </c>
      <c r="TP28" s="98">
        <v>2826324</v>
      </c>
      <c r="TQ28" s="98">
        <v>1958294</v>
      </c>
      <c r="TR28" s="98">
        <v>58381619</v>
      </c>
      <c r="TS28" s="98">
        <v>47706260</v>
      </c>
      <c r="TT28" s="98">
        <v>8355995</v>
      </c>
      <c r="TU28" s="98">
        <v>7753311</v>
      </c>
      <c r="TV28" s="98">
        <v>1977296000</v>
      </c>
      <c r="TW28" s="98">
        <v>1548931000</v>
      </c>
      <c r="TX28" s="98">
        <v>3372746</v>
      </c>
      <c r="TY28" s="98">
        <v>3167492</v>
      </c>
      <c r="TZ28" s="98">
        <v>224506638</v>
      </c>
      <c r="UA28" s="98">
        <v>184738509</v>
      </c>
      <c r="UB28" s="98">
        <v>551214</v>
      </c>
      <c r="UC28" s="98">
        <v>0</v>
      </c>
      <c r="UD28" s="98">
        <v>42629000</v>
      </c>
      <c r="UE28" s="98">
        <v>36756000</v>
      </c>
      <c r="UF28" s="98">
        <v>850845</v>
      </c>
      <c r="UG28" s="98">
        <v>1203823</v>
      </c>
      <c r="UH28" s="98">
        <v>949458</v>
      </c>
      <c r="UI28" s="98">
        <v>2380219</v>
      </c>
      <c r="UJ28" s="98">
        <v>9172996</v>
      </c>
      <c r="UK28" s="98">
        <v>7261956</v>
      </c>
      <c r="UL28" s="98">
        <v>0</v>
      </c>
      <c r="UM28" s="98">
        <v>0</v>
      </c>
      <c r="UN28" s="98">
        <v>679140</v>
      </c>
      <c r="UO28" s="98">
        <v>855720</v>
      </c>
      <c r="UP28" s="98">
        <v>6260782</v>
      </c>
      <c r="UQ28" s="98">
        <v>4201828</v>
      </c>
      <c r="UR28" s="98">
        <v>23857628</v>
      </c>
      <c r="US28" s="98">
        <v>27041832</v>
      </c>
      <c r="UT28" s="98">
        <v>3803685</v>
      </c>
      <c r="UU28" s="98">
        <v>0</v>
      </c>
      <c r="UV28" s="98">
        <v>32368701</v>
      </c>
      <c r="UW28" s="98">
        <v>30295853</v>
      </c>
      <c r="UX28" s="98">
        <v>8757077</v>
      </c>
      <c r="UY28" s="98">
        <v>8790210</v>
      </c>
      <c r="UZ28" s="98">
        <v>1183421</v>
      </c>
      <c r="VA28" s="98">
        <v>462419</v>
      </c>
      <c r="VB28" s="98">
        <v>5510903</v>
      </c>
      <c r="VC28" s="98">
        <v>8317739</v>
      </c>
      <c r="VD28" s="98">
        <v>4131561</v>
      </c>
      <c r="VE28" s="98">
        <v>3803825</v>
      </c>
      <c r="VF28" s="98">
        <v>433324</v>
      </c>
      <c r="VG28" s="98">
        <v>0</v>
      </c>
      <c r="VH28" s="98">
        <v>236853</v>
      </c>
      <c r="VI28" s="98">
        <v>123450</v>
      </c>
      <c r="VJ28" s="98">
        <v>85691</v>
      </c>
      <c r="VK28" s="98">
        <v>72100</v>
      </c>
      <c r="VL28" s="98">
        <v>0</v>
      </c>
      <c r="VM28" s="98">
        <v>274083</v>
      </c>
      <c r="VN28" s="98">
        <v>5866227</v>
      </c>
      <c r="VO28" s="98">
        <v>0</v>
      </c>
      <c r="VP28" s="98">
        <v>157180898</v>
      </c>
      <c r="VQ28" s="98">
        <v>87563988</v>
      </c>
      <c r="VR28" s="98">
        <v>1721878</v>
      </c>
      <c r="VS28" s="98">
        <v>753036</v>
      </c>
      <c r="VT28" s="98">
        <v>963495</v>
      </c>
      <c r="VU28" s="98">
        <v>776775</v>
      </c>
      <c r="VV28" s="98">
        <v>10539611</v>
      </c>
      <c r="VW28" s="98">
        <v>5927219</v>
      </c>
      <c r="VX28" s="99">
        <v>757718</v>
      </c>
      <c r="VY28" s="98">
        <v>722452</v>
      </c>
      <c r="VZ28" s="98">
        <v>2158413</v>
      </c>
      <c r="WA28" s="98">
        <v>2148391</v>
      </c>
      <c r="WB28" s="98">
        <v>827654</v>
      </c>
      <c r="WC28" s="98">
        <v>1029052</v>
      </c>
      <c r="WD28" s="98">
        <v>274548</v>
      </c>
      <c r="WE28" s="98">
        <v>277843</v>
      </c>
      <c r="WF28" s="98">
        <v>0</v>
      </c>
      <c r="WG28" s="98">
        <v>0</v>
      </c>
      <c r="WH28" s="98">
        <v>0</v>
      </c>
      <c r="WI28" s="98">
        <v>0</v>
      </c>
      <c r="WJ28" s="98">
        <v>856875</v>
      </c>
      <c r="WK28" s="98">
        <v>828224</v>
      </c>
      <c r="WL28" s="98">
        <v>1427113</v>
      </c>
      <c r="WM28" s="98">
        <v>1735658</v>
      </c>
      <c r="WN28" s="98">
        <v>1847097</v>
      </c>
      <c r="WO28" s="98">
        <v>2305161</v>
      </c>
      <c r="WP28" s="98">
        <v>0</v>
      </c>
      <c r="WQ28" s="98">
        <v>0</v>
      </c>
      <c r="WR28" s="98">
        <v>1339234</v>
      </c>
      <c r="WS28" s="98">
        <v>2295902</v>
      </c>
      <c r="WT28" s="99">
        <v>1462112</v>
      </c>
      <c r="WU28" s="98">
        <v>1162810</v>
      </c>
      <c r="WV28" s="98">
        <v>1238550</v>
      </c>
      <c r="WW28" s="98">
        <v>740080</v>
      </c>
      <c r="WX28" s="98">
        <v>2551997</v>
      </c>
      <c r="WY28" s="98">
        <v>1295118</v>
      </c>
      <c r="WZ28" s="98">
        <v>0</v>
      </c>
      <c r="XA28" s="98">
        <v>311095</v>
      </c>
      <c r="XB28" s="98">
        <v>1645296</v>
      </c>
      <c r="XC28" s="98">
        <v>1983866</v>
      </c>
      <c r="XD28" s="98">
        <v>206546</v>
      </c>
      <c r="XE28" s="98">
        <v>321143</v>
      </c>
      <c r="XF28" s="98">
        <v>1698541</v>
      </c>
      <c r="XG28" s="98">
        <v>1471665</v>
      </c>
      <c r="XH28" s="98">
        <v>177545</v>
      </c>
      <c r="XI28" s="98">
        <v>859784</v>
      </c>
      <c r="XJ28" s="98">
        <v>19910163</v>
      </c>
      <c r="XK28" s="98">
        <v>30604453</v>
      </c>
      <c r="XL28" s="98">
        <v>330105</v>
      </c>
      <c r="XM28" s="98">
        <v>246414</v>
      </c>
      <c r="XN28" s="98">
        <v>219990</v>
      </c>
      <c r="XO28" s="98">
        <v>0</v>
      </c>
      <c r="XP28" s="98">
        <v>0</v>
      </c>
      <c r="XQ28" s="98">
        <v>0</v>
      </c>
      <c r="XR28" s="98">
        <v>3148203</v>
      </c>
      <c r="XS28" s="98">
        <v>2712848</v>
      </c>
      <c r="XT28" s="98">
        <v>288952</v>
      </c>
      <c r="XU28" s="98">
        <v>802462</v>
      </c>
      <c r="XV28" s="98">
        <v>1629784</v>
      </c>
      <c r="XW28" s="98">
        <v>1766980</v>
      </c>
      <c r="XX28" s="98">
        <v>47706260</v>
      </c>
      <c r="XY28" s="98">
        <v>53682254</v>
      </c>
      <c r="XZ28" s="98">
        <v>7764711</v>
      </c>
      <c r="YA28" s="98">
        <v>8310593</v>
      </c>
      <c r="YB28" s="98">
        <v>1548931</v>
      </c>
      <c r="YC28" s="98">
        <v>1486441</v>
      </c>
      <c r="YD28" s="98">
        <v>3407985</v>
      </c>
      <c r="YE28" s="98">
        <v>2895694</v>
      </c>
      <c r="YF28" s="98">
        <v>184738509</v>
      </c>
      <c r="YG28" s="98">
        <v>106331775</v>
      </c>
      <c r="YH28" s="98">
        <v>0</v>
      </c>
      <c r="YI28" s="98">
        <v>0</v>
      </c>
      <c r="YJ28" s="98">
        <v>36756000</v>
      </c>
      <c r="YK28" s="98">
        <v>0</v>
      </c>
      <c r="YL28" s="98">
        <v>1131469104</v>
      </c>
      <c r="YM28" s="98">
        <v>1899517693</v>
      </c>
      <c r="YN28" s="98">
        <v>2380219</v>
      </c>
      <c r="YO28" s="98">
        <v>3843832</v>
      </c>
      <c r="YP28" s="98">
        <v>7261956</v>
      </c>
      <c r="YQ28" s="98">
        <v>8375678</v>
      </c>
      <c r="YR28" s="98">
        <v>0</v>
      </c>
      <c r="YS28" s="98">
        <v>0</v>
      </c>
      <c r="YT28" s="98">
        <v>855720</v>
      </c>
      <c r="YU28" s="98">
        <v>2070478</v>
      </c>
      <c r="YV28" s="98">
        <v>4201828</v>
      </c>
      <c r="YW28" s="98">
        <v>3952028</v>
      </c>
      <c r="YX28" s="98">
        <v>27041832</v>
      </c>
      <c r="YY28" s="98">
        <v>37321250</v>
      </c>
      <c r="YZ28" s="98">
        <v>1553226</v>
      </c>
      <c r="ZA28" s="98">
        <v>1100923</v>
      </c>
      <c r="ZB28" s="98">
        <v>30295853</v>
      </c>
      <c r="ZC28" s="98">
        <v>27552166</v>
      </c>
      <c r="ZD28" s="98">
        <v>8790210</v>
      </c>
      <c r="ZE28" s="98">
        <v>6763334</v>
      </c>
      <c r="ZF28" s="98">
        <v>462419</v>
      </c>
      <c r="ZG28" s="98">
        <v>421097</v>
      </c>
      <c r="ZH28" s="98">
        <v>8317739</v>
      </c>
      <c r="ZI28" s="98">
        <v>11192590</v>
      </c>
      <c r="ZJ28" s="98">
        <v>3803825</v>
      </c>
      <c r="ZK28" s="98">
        <v>3611626</v>
      </c>
      <c r="ZL28" s="98">
        <v>0</v>
      </c>
      <c r="ZM28" s="98">
        <v>0</v>
      </c>
      <c r="ZN28" s="98">
        <v>123450</v>
      </c>
      <c r="ZO28" s="98">
        <v>276488</v>
      </c>
      <c r="ZP28" s="98">
        <v>72100</v>
      </c>
      <c r="ZQ28" s="98">
        <v>0</v>
      </c>
      <c r="ZR28" s="98">
        <v>274083</v>
      </c>
      <c r="ZS28" s="98">
        <v>102703</v>
      </c>
      <c r="ZT28" s="98">
        <v>0</v>
      </c>
      <c r="ZU28" s="98">
        <v>0</v>
      </c>
      <c r="ZV28" s="98">
        <v>87563988</v>
      </c>
      <c r="ZW28" s="98">
        <v>53065396</v>
      </c>
      <c r="ZX28" s="98">
        <v>753036</v>
      </c>
      <c r="ZY28" s="98">
        <v>348874</v>
      </c>
      <c r="ZZ28" s="605"/>
      <c r="AAA28" s="605"/>
      <c r="AAB28" s="605"/>
      <c r="AAC28" s="605"/>
      <c r="AAD28" s="605"/>
      <c r="AAE28" s="605"/>
      <c r="AAF28" s="605"/>
      <c r="AAG28" s="605"/>
      <c r="AAH28" s="605"/>
      <c r="AAI28" s="605"/>
      <c r="AAJ28" s="605"/>
      <c r="AAK28" s="605"/>
      <c r="AAL28" s="605"/>
      <c r="AAM28" s="605"/>
      <c r="AAN28" s="605"/>
      <c r="AAO28" s="605"/>
      <c r="AAP28" s="605"/>
      <c r="AAQ28" s="605"/>
      <c r="AAR28" s="605"/>
      <c r="AAS28" s="605"/>
      <c r="AAT28" s="605"/>
      <c r="AAU28" s="605"/>
      <c r="AAV28" s="605"/>
      <c r="AAW28" s="605"/>
      <c r="AAX28" s="605"/>
      <c r="AAY28" s="605"/>
      <c r="AAZ28" s="605"/>
      <c r="ABA28" s="605"/>
      <c r="ABB28" s="605"/>
      <c r="ABC28" s="605"/>
      <c r="ABD28" s="605"/>
      <c r="ABE28" s="605"/>
      <c r="ABF28" s="605"/>
      <c r="ABG28" s="605"/>
      <c r="ABH28" s="605"/>
      <c r="ABI28" s="605"/>
      <c r="ABJ28" s="605"/>
      <c r="ABK28" s="605"/>
      <c r="ABL28" s="605"/>
      <c r="ABM28" s="605"/>
      <c r="ABN28" s="605"/>
      <c r="ABO28" s="605"/>
      <c r="ABP28" s="605"/>
      <c r="ABQ28" s="605"/>
      <c r="ABR28" s="605"/>
      <c r="ABS28" s="605"/>
      <c r="ABT28" s="605"/>
      <c r="ABU28" s="605"/>
      <c r="ABV28" s="605"/>
      <c r="ABW28" s="605"/>
      <c r="ABX28" s="605"/>
      <c r="ABY28" s="605"/>
      <c r="ABZ28" s="605"/>
      <c r="ACA28" s="605"/>
      <c r="ACB28" s="605"/>
      <c r="ACC28" s="605"/>
      <c r="ACD28" s="605"/>
      <c r="ACE28" s="605"/>
      <c r="ACF28" s="605"/>
      <c r="ACG28" s="605"/>
      <c r="ACH28" s="605"/>
      <c r="ACI28" s="605"/>
      <c r="ACJ28" s="605"/>
      <c r="ACK28" s="605"/>
      <c r="ACL28" s="605"/>
      <c r="ACM28" s="605"/>
      <c r="ACN28" s="605"/>
      <c r="ACO28" s="605"/>
      <c r="ACP28" s="605"/>
      <c r="ACQ28" s="605"/>
      <c r="ACR28" s="605"/>
      <c r="ACS28" s="605"/>
      <c r="ACT28" s="605"/>
      <c r="ACU28" s="605"/>
      <c r="ACV28" s="605"/>
      <c r="ACW28" s="605"/>
      <c r="ACX28" s="605"/>
      <c r="ACY28" s="605"/>
      <c r="ACZ28" s="605"/>
      <c r="ADA28" s="605"/>
      <c r="ADB28" s="605"/>
      <c r="ADC28" s="605"/>
      <c r="ADD28" s="605"/>
      <c r="ADE28" s="605"/>
      <c r="ADF28" s="605"/>
      <c r="ADG28" s="605"/>
      <c r="ADH28" s="605"/>
      <c r="ADI28" s="605"/>
      <c r="ADJ28" s="605"/>
      <c r="ADK28" s="605"/>
      <c r="ADL28" s="605"/>
      <c r="ADM28" s="605"/>
      <c r="ADN28" s="605"/>
      <c r="ADO28" s="605"/>
      <c r="ADP28" s="605"/>
      <c r="ADQ28" s="605"/>
      <c r="ADR28" s="605"/>
      <c r="ADS28" s="605"/>
      <c r="ADT28" s="605"/>
      <c r="ADU28" s="605"/>
      <c r="ADV28" s="605"/>
      <c r="ADW28" s="605"/>
      <c r="ADX28" s="605"/>
      <c r="ADY28" s="605"/>
      <c r="ADZ28" s="605"/>
      <c r="AEA28" s="605"/>
      <c r="AEB28" s="605"/>
      <c r="AEC28" s="605"/>
      <c r="AED28" s="605"/>
      <c r="AEE28" s="605"/>
      <c r="AEF28" s="605"/>
      <c r="AEG28" s="605"/>
      <c r="AEH28" s="605"/>
      <c r="AEI28" s="605"/>
      <c r="AEJ28" s="605"/>
      <c r="AEK28" s="605"/>
      <c r="AEL28" s="605"/>
      <c r="AEM28" s="605"/>
      <c r="AEN28" s="605"/>
      <c r="AEO28" s="605"/>
      <c r="AEP28" s="605"/>
      <c r="AEQ28" s="605"/>
      <c r="AER28" s="605"/>
      <c r="AES28" s="605"/>
      <c r="AET28" s="605"/>
      <c r="AEU28" s="605"/>
      <c r="AEV28" s="605"/>
      <c r="AEW28" s="605"/>
      <c r="AEX28" s="605"/>
      <c r="AEY28" s="605"/>
      <c r="AEZ28" s="605"/>
      <c r="AFA28" s="605"/>
      <c r="AFB28" s="605"/>
      <c r="AFC28" s="605"/>
      <c r="AFD28" s="605"/>
      <c r="AFE28" s="605"/>
      <c r="AFF28" s="605"/>
      <c r="AFG28" s="605"/>
      <c r="AFH28" s="605"/>
      <c r="AFI28" s="605"/>
      <c r="AFJ28" s="605"/>
      <c r="AFK28" s="605"/>
      <c r="AFL28" s="605"/>
      <c r="AFM28" s="605"/>
      <c r="AFN28" s="605"/>
      <c r="AFO28" s="605"/>
      <c r="AFP28" s="605"/>
      <c r="AFQ28" s="605"/>
      <c r="AFR28" s="605"/>
      <c r="AFS28" s="605"/>
      <c r="AFT28" s="605"/>
      <c r="AFU28" s="605"/>
      <c r="AFV28" s="605"/>
      <c r="AFW28" s="605"/>
      <c r="AFX28" s="605"/>
      <c r="AFY28" s="605"/>
      <c r="AFZ28" s="605"/>
      <c r="AGA28" s="605"/>
      <c r="AGB28" s="605"/>
      <c r="AGC28" s="605"/>
      <c r="AGD28" s="605"/>
      <c r="AGE28" s="605"/>
      <c r="AGF28" s="605"/>
      <c r="AGG28" s="605"/>
      <c r="AGH28" s="605"/>
      <c r="AGI28" s="605"/>
      <c r="AGJ28" s="605"/>
      <c r="AGK28" s="605"/>
      <c r="AGL28" s="605"/>
      <c r="AGM28" s="605"/>
      <c r="AGN28" s="605"/>
      <c r="AGO28" s="605"/>
      <c r="AGP28" s="605"/>
      <c r="AGQ28" s="605"/>
      <c r="AGR28" s="605"/>
      <c r="AGS28" s="605"/>
      <c r="AGT28" s="605"/>
      <c r="AGU28" s="605"/>
      <c r="AGV28" s="605"/>
      <c r="AGW28" s="605"/>
      <c r="AGX28" s="605"/>
      <c r="AGY28" s="605"/>
      <c r="AGZ28" s="605"/>
      <c r="AHA28" s="605"/>
      <c r="AHB28" s="605"/>
      <c r="AHC28" s="605"/>
      <c r="AHD28" s="605"/>
      <c r="AHE28" s="605"/>
      <c r="AHF28" s="605"/>
      <c r="AHG28" s="605"/>
      <c r="AHH28" s="605"/>
      <c r="AHI28" s="605"/>
      <c r="AHJ28" s="605"/>
      <c r="AHK28" s="605"/>
      <c r="AHL28" s="605"/>
      <c r="AHM28" s="605"/>
      <c r="AHN28" s="605"/>
      <c r="AHO28" s="605"/>
      <c r="AHP28" s="605"/>
      <c r="AHQ28" s="605"/>
      <c r="AHR28" s="605"/>
      <c r="AHS28" s="605"/>
      <c r="AHT28" s="605"/>
      <c r="AHU28" s="605"/>
      <c r="AHV28" s="605"/>
      <c r="AHW28" s="605"/>
      <c r="AHX28" s="605"/>
      <c r="AHY28" s="605"/>
      <c r="AHZ28" s="605"/>
      <c r="AIA28" s="605"/>
      <c r="AIB28" s="605"/>
      <c r="AIC28" s="605"/>
      <c r="AID28" s="605"/>
      <c r="AIE28" s="605"/>
      <c r="AIF28" s="605"/>
      <c r="AIG28" s="605"/>
      <c r="AIH28" s="605"/>
      <c r="AII28" s="605"/>
      <c r="AIJ28" s="605"/>
      <c r="AIK28" s="605"/>
      <c r="AIL28" s="605"/>
      <c r="AIM28" s="605"/>
      <c r="AIN28" s="605"/>
      <c r="AIO28" s="605"/>
      <c r="AIP28" s="605"/>
      <c r="AIQ28" s="605"/>
      <c r="AIR28" s="605"/>
      <c r="AIS28" s="605"/>
      <c r="AIT28" s="605"/>
      <c r="AIU28" s="605"/>
      <c r="AIV28" s="605"/>
      <c r="AIW28" s="605"/>
      <c r="AIX28" s="605"/>
      <c r="AIY28" s="605"/>
      <c r="AIZ28" s="605"/>
      <c r="AJA28" s="605"/>
      <c r="AJB28" s="605"/>
      <c r="AJC28" s="605"/>
      <c r="AJD28" s="605"/>
      <c r="AJE28" s="605"/>
      <c r="AJF28" s="605"/>
      <c r="AJG28" s="605"/>
      <c r="AJH28" s="605"/>
      <c r="AJI28" s="605"/>
      <c r="AJJ28" s="605"/>
      <c r="AJK28" s="605"/>
      <c r="AJL28" s="605"/>
      <c r="AJM28" s="605"/>
      <c r="AJN28" s="605"/>
      <c r="AJO28" s="605"/>
    </row>
    <row r="29" spans="1:951" x14ac:dyDescent="0.25">
      <c r="A29" s="779" t="s">
        <v>33</v>
      </c>
      <c r="B29" s="780">
        <v>0</v>
      </c>
      <c r="C29" s="780">
        <v>902854.9140000008</v>
      </c>
      <c r="D29" s="780">
        <v>1708033.8370000012</v>
      </c>
      <c r="E29" s="780">
        <v>990988</v>
      </c>
      <c r="F29" s="780">
        <v>1313097</v>
      </c>
      <c r="G29" s="780">
        <v>62129</v>
      </c>
      <c r="H29" s="780">
        <v>18821</v>
      </c>
      <c r="I29" s="780">
        <v>121352.73699999996</v>
      </c>
      <c r="J29" s="780">
        <v>125474</v>
      </c>
      <c r="K29" s="780">
        <v>0</v>
      </c>
      <c r="L29" s="780">
        <v>1405425.8419999992</v>
      </c>
      <c r="M29" s="781">
        <v>-172508.13499999978</v>
      </c>
      <c r="N29" s="780">
        <v>486323.4170000013</v>
      </c>
      <c r="O29" s="781">
        <v>-194499</v>
      </c>
      <c r="P29" s="781">
        <v>-1165048</v>
      </c>
      <c r="Q29" s="780">
        <v>0</v>
      </c>
      <c r="R29" s="781">
        <v>-11504.809000000008</v>
      </c>
      <c r="S29" s="780">
        <v>100887</v>
      </c>
      <c r="T29" s="782">
        <v>58066</v>
      </c>
      <c r="U29" s="781">
        <v>-78671</v>
      </c>
      <c r="V29" s="780">
        <v>0</v>
      </c>
      <c r="W29" s="780">
        <v>0</v>
      </c>
      <c r="X29" s="780">
        <v>78652</v>
      </c>
      <c r="Y29" s="780">
        <v>113438</v>
      </c>
      <c r="Z29" s="780">
        <v>148983</v>
      </c>
      <c r="AA29" s="780">
        <v>0</v>
      </c>
      <c r="AB29" s="780">
        <v>17469.53</v>
      </c>
      <c r="AC29" s="780">
        <v>27577.479999999981</v>
      </c>
      <c r="AD29" s="780">
        <v>71017</v>
      </c>
      <c r="AE29" s="780">
        <v>32710</v>
      </c>
      <c r="AF29" s="780">
        <v>30504</v>
      </c>
      <c r="AG29" s="780">
        <v>24998.422999999486</v>
      </c>
      <c r="AH29" s="781">
        <v>-140034.70999999996</v>
      </c>
      <c r="AI29" s="781">
        <v>-105021</v>
      </c>
      <c r="AJ29" s="782">
        <v>45262</v>
      </c>
      <c r="AK29" s="780">
        <v>0</v>
      </c>
      <c r="AL29" s="780">
        <v>87034.033999999985</v>
      </c>
      <c r="AM29" s="780">
        <v>53404.180999999982</v>
      </c>
      <c r="AN29" s="780">
        <v>100183</v>
      </c>
      <c r="AO29" s="780">
        <v>128049</v>
      </c>
      <c r="AP29" s="780">
        <v>0</v>
      </c>
      <c r="AQ29" s="780">
        <v>2644</v>
      </c>
      <c r="AR29" s="780">
        <v>15948</v>
      </c>
      <c r="AS29" s="780">
        <v>27854</v>
      </c>
      <c r="AT29" s="780">
        <v>46809</v>
      </c>
      <c r="AU29" s="780">
        <v>70198</v>
      </c>
      <c r="AV29" s="780">
        <v>34043</v>
      </c>
      <c r="AW29" s="780">
        <v>41029</v>
      </c>
      <c r="AX29" s="781">
        <v>-53944</v>
      </c>
      <c r="AY29" s="780">
        <v>0</v>
      </c>
      <c r="AZ29" s="780">
        <v>46805.887000000104</v>
      </c>
      <c r="BA29" s="780">
        <v>48040.262000000104</v>
      </c>
      <c r="BB29" s="780">
        <v>48489.567000000039</v>
      </c>
      <c r="BC29" s="781">
        <v>-292582</v>
      </c>
      <c r="BD29" s="780">
        <v>-87100</v>
      </c>
      <c r="BE29" s="780">
        <v>0</v>
      </c>
      <c r="BF29" s="780">
        <v>66899.217999999877</v>
      </c>
      <c r="BG29" s="780">
        <v>93079.196999999927</v>
      </c>
      <c r="BH29" s="780">
        <v>163182</v>
      </c>
      <c r="BI29" s="780">
        <v>211413</v>
      </c>
      <c r="BJ29" s="780">
        <v>0</v>
      </c>
      <c r="BK29" s="780">
        <v>0</v>
      </c>
      <c r="BL29" s="781">
        <v>0</v>
      </c>
      <c r="BM29" s="781">
        <v>0</v>
      </c>
      <c r="BN29" s="780">
        <v>213806</v>
      </c>
      <c r="BO29" s="780">
        <v>0</v>
      </c>
      <c r="BP29" s="780">
        <v>0</v>
      </c>
      <c r="BQ29" s="780">
        <v>10758</v>
      </c>
      <c r="BR29" s="780">
        <v>38240</v>
      </c>
      <c r="BS29" s="780">
        <v>72236</v>
      </c>
      <c r="BT29" s="781">
        <v>-106244.26399999997</v>
      </c>
      <c r="BU29" s="781">
        <v>-240610.55400000003</v>
      </c>
      <c r="BV29" s="781">
        <v>-268204</v>
      </c>
      <c r="BW29" s="780">
        <v>130605</v>
      </c>
      <c r="BX29" s="781">
        <v>-60786</v>
      </c>
      <c r="BY29" s="780">
        <v>0</v>
      </c>
      <c r="BZ29" s="780">
        <v>303705.5</v>
      </c>
      <c r="CA29" s="780">
        <v>48409.865999999922</v>
      </c>
      <c r="CB29" s="780">
        <v>185411</v>
      </c>
      <c r="CC29" s="780">
        <v>298890</v>
      </c>
      <c r="CD29" s="780">
        <v>48244.462</v>
      </c>
      <c r="CE29" s="780">
        <v>39037.225000000006</v>
      </c>
      <c r="CF29" s="780">
        <v>-9871.4809999999998</v>
      </c>
      <c r="CG29" s="780">
        <v>12297</v>
      </c>
      <c r="CH29" s="780">
        <v>9526</v>
      </c>
      <c r="CI29" s="780">
        <v>0</v>
      </c>
      <c r="CJ29" s="780">
        <v>0</v>
      </c>
      <c r="CK29" s="780">
        <v>1480.069</v>
      </c>
      <c r="CL29" s="780">
        <v>910996</v>
      </c>
      <c r="CM29" s="780">
        <v>0</v>
      </c>
      <c r="CN29" s="780">
        <v>0</v>
      </c>
      <c r="CO29" s="780">
        <v>0</v>
      </c>
      <c r="CP29" s="780">
        <v>257541.37399999984</v>
      </c>
      <c r="CQ29" s="780">
        <v>12552</v>
      </c>
      <c r="CR29" s="780">
        <v>92608</v>
      </c>
      <c r="CS29" s="780">
        <v>0</v>
      </c>
      <c r="CT29" s="781">
        <v>-9592.1970000000147</v>
      </c>
      <c r="CU29" s="780">
        <v>12764</v>
      </c>
      <c r="CV29" s="780">
        <v>0</v>
      </c>
      <c r="CW29" s="780">
        <v>18497</v>
      </c>
      <c r="CX29" s="780">
        <v>0</v>
      </c>
      <c r="CY29" s="780">
        <v>2274</v>
      </c>
      <c r="CZ29" s="780">
        <v>7503</v>
      </c>
      <c r="DA29" s="780">
        <v>5414</v>
      </c>
      <c r="DB29" s="780">
        <v>5326</v>
      </c>
      <c r="DC29" s="781">
        <v>-25725</v>
      </c>
      <c r="DD29" s="780">
        <v>7704</v>
      </c>
      <c r="DE29" s="780">
        <v>9277</v>
      </c>
      <c r="DF29" s="780">
        <v>44123</v>
      </c>
      <c r="DG29" s="780">
        <v>25168</v>
      </c>
      <c r="DH29" s="780">
        <v>0</v>
      </c>
      <c r="DI29" s="780">
        <v>0</v>
      </c>
      <c r="DJ29" s="780">
        <v>0</v>
      </c>
      <c r="DK29" s="780">
        <v>0</v>
      </c>
      <c r="DL29" s="780">
        <v>-76279</v>
      </c>
      <c r="DM29" s="783">
        <v>356128</v>
      </c>
      <c r="DN29" s="781">
        <v>-697705</v>
      </c>
      <c r="DO29" s="780">
        <v>310175</v>
      </c>
      <c r="DP29" s="780">
        <v>627328</v>
      </c>
      <c r="DQ29" s="781">
        <v>-32705</v>
      </c>
      <c r="DR29" s="780">
        <v>7434962.362999998</v>
      </c>
      <c r="DS29" s="780">
        <v>6177385.126000002</v>
      </c>
      <c r="DT29" s="780">
        <v>22280988.513000011</v>
      </c>
      <c r="DU29" s="780">
        <v>52066603</v>
      </c>
      <c r="DV29" s="780">
        <v>52660539</v>
      </c>
      <c r="DW29" s="780">
        <v>96491.685999999987</v>
      </c>
      <c r="DX29" s="780">
        <v>72511.648999999976</v>
      </c>
      <c r="DY29" s="780">
        <v>61251.87099999981</v>
      </c>
      <c r="DZ29" s="780">
        <v>75732</v>
      </c>
      <c r="EA29" s="780">
        <v>59502</v>
      </c>
      <c r="EB29" s="780">
        <v>0</v>
      </c>
      <c r="EC29" s="780">
        <v>0</v>
      </c>
      <c r="ED29" s="780">
        <v>0</v>
      </c>
      <c r="EE29" s="780">
        <v>0</v>
      </c>
      <c r="EF29" s="780">
        <v>17661</v>
      </c>
      <c r="EG29" s="780">
        <v>0</v>
      </c>
      <c r="EH29" s="780">
        <v>0</v>
      </c>
      <c r="EI29" s="780">
        <v>0</v>
      </c>
      <c r="EJ29" s="780">
        <v>-705869</v>
      </c>
      <c r="EK29" s="780">
        <v>-174083</v>
      </c>
      <c r="EL29" s="780">
        <v>0</v>
      </c>
      <c r="EM29" s="780">
        <v>0</v>
      </c>
      <c r="EN29" s="780">
        <v>0</v>
      </c>
      <c r="EO29" s="781">
        <v>-46795</v>
      </c>
      <c r="EP29" s="781">
        <v>-331529</v>
      </c>
      <c r="EQ29" s="780">
        <v>0</v>
      </c>
      <c r="ER29" s="780">
        <v>0</v>
      </c>
      <c r="ES29" s="780">
        <v>0</v>
      </c>
      <c r="ET29" s="780">
        <v>0</v>
      </c>
      <c r="EU29" s="780">
        <v>54530</v>
      </c>
      <c r="EV29" s="784">
        <v>68342</v>
      </c>
      <c r="EW29" s="784">
        <v>-18155</v>
      </c>
      <c r="EX29" s="785">
        <v>-1165048</v>
      </c>
      <c r="EY29" s="785">
        <v>-50287</v>
      </c>
      <c r="EZ29" s="785">
        <v>-78671</v>
      </c>
      <c r="FA29" s="785">
        <v>-179992</v>
      </c>
      <c r="FB29" s="784">
        <v>32710</v>
      </c>
      <c r="FC29" s="784">
        <v>95820</v>
      </c>
      <c r="FD29" s="786">
        <v>45262</v>
      </c>
      <c r="FE29" s="784">
        <v>-249603</v>
      </c>
      <c r="FF29" s="784">
        <v>128049</v>
      </c>
      <c r="FG29" s="784">
        <v>253815</v>
      </c>
      <c r="FH29" s="784">
        <v>46809</v>
      </c>
      <c r="FI29" s="784">
        <v>0</v>
      </c>
      <c r="FJ29" s="784">
        <v>0</v>
      </c>
      <c r="FK29" s="784">
        <v>0</v>
      </c>
      <c r="FL29" s="784">
        <v>0</v>
      </c>
      <c r="FM29" s="784">
        <v>20059</v>
      </c>
      <c r="FN29" s="784">
        <v>72236</v>
      </c>
      <c r="FO29" s="784">
        <v>34723</v>
      </c>
      <c r="FP29" s="784">
        <v>211413</v>
      </c>
      <c r="FQ29" s="784">
        <v>252380</v>
      </c>
      <c r="FR29" s="785">
        <v>-60786</v>
      </c>
      <c r="FS29" s="785">
        <v>0</v>
      </c>
      <c r="FT29" s="784">
        <v>-87100</v>
      </c>
      <c r="FU29" s="784">
        <v>50026</v>
      </c>
      <c r="FV29" s="784">
        <v>298890</v>
      </c>
      <c r="FW29" s="784">
        <v>298655</v>
      </c>
      <c r="FX29" s="784">
        <v>17661</v>
      </c>
      <c r="FY29" s="784">
        <v>25196</v>
      </c>
      <c r="FZ29" s="784">
        <v>148983</v>
      </c>
      <c r="GA29" s="784">
        <v>151177</v>
      </c>
      <c r="GB29" s="784">
        <v>213806</v>
      </c>
      <c r="GC29" s="784">
        <v>184246</v>
      </c>
      <c r="GD29" s="784">
        <v>9526</v>
      </c>
      <c r="GE29" s="784">
        <v>15163</v>
      </c>
      <c r="GF29" s="784"/>
      <c r="GG29" s="784"/>
      <c r="GH29" s="784">
        <v>92608</v>
      </c>
      <c r="GI29" s="784">
        <v>132713</v>
      </c>
      <c r="GJ29" s="784">
        <v>43000</v>
      </c>
      <c r="GK29" s="784">
        <v>45000</v>
      </c>
      <c r="GL29" s="785">
        <v>-131333</v>
      </c>
      <c r="GM29" s="784">
        <v>954959</v>
      </c>
      <c r="GN29" s="784">
        <v>223650</v>
      </c>
      <c r="GO29" s="784">
        <v>272377</v>
      </c>
      <c r="GP29" s="784">
        <v>0</v>
      </c>
      <c r="GQ29" s="784">
        <v>0</v>
      </c>
      <c r="GR29" s="784"/>
      <c r="GS29" s="784"/>
      <c r="GT29" s="784">
        <v>157222</v>
      </c>
      <c r="GU29" s="785">
        <v>58472</v>
      </c>
      <c r="GV29" s="785">
        <v>0</v>
      </c>
      <c r="GW29" s="785">
        <v>0</v>
      </c>
      <c r="GX29" s="784">
        <v>137209</v>
      </c>
      <c r="GY29" s="784">
        <v>63159</v>
      </c>
      <c r="GZ29" s="785">
        <v>-8450259</v>
      </c>
      <c r="HA29" s="784">
        <v>-5284884</v>
      </c>
      <c r="HB29" s="784">
        <v>529641</v>
      </c>
      <c r="HC29" s="785">
        <v>638920</v>
      </c>
      <c r="HD29" s="784">
        <v>67232</v>
      </c>
      <c r="HE29" s="784">
        <v>30581</v>
      </c>
      <c r="HF29" s="784">
        <v>965874</v>
      </c>
      <c r="HG29" s="784">
        <v>1339122</v>
      </c>
      <c r="HH29" s="784">
        <v>7636796</v>
      </c>
      <c r="HI29" s="784">
        <v>12508934</v>
      </c>
      <c r="HJ29" s="784">
        <v>157883</v>
      </c>
      <c r="HK29" s="784">
        <v>71272</v>
      </c>
      <c r="HL29" s="784">
        <v>-1545010</v>
      </c>
      <c r="HM29" s="784">
        <v>289599</v>
      </c>
      <c r="HN29" s="784">
        <v>57407</v>
      </c>
      <c r="HO29" s="784">
        <v>66271</v>
      </c>
      <c r="HP29" s="784">
        <v>23205</v>
      </c>
      <c r="HQ29" s="784">
        <v>29615</v>
      </c>
      <c r="HR29" s="784">
        <v>267715</v>
      </c>
      <c r="HS29" s="784">
        <v>528791</v>
      </c>
      <c r="HT29" s="784">
        <v>-174083</v>
      </c>
      <c r="HU29" s="784">
        <v>0</v>
      </c>
      <c r="HV29" s="785">
        <v>-331529</v>
      </c>
      <c r="HW29" s="784">
        <v>-248114</v>
      </c>
      <c r="HX29" s="784">
        <v>242275</v>
      </c>
      <c r="HY29" s="784">
        <v>152219</v>
      </c>
      <c r="HZ29" s="784">
        <v>3614572</v>
      </c>
      <c r="IA29" s="784">
        <v>508837</v>
      </c>
      <c r="IB29" s="784">
        <v>257576</v>
      </c>
      <c r="IC29" s="784">
        <v>260437</v>
      </c>
      <c r="ID29" s="785">
        <v>-618926</v>
      </c>
      <c r="IE29" s="784">
        <v>344130</v>
      </c>
      <c r="IF29" s="784">
        <v>1381877</v>
      </c>
      <c r="IG29" s="784">
        <v>1615854</v>
      </c>
      <c r="IH29" s="784">
        <v>14794</v>
      </c>
      <c r="II29" s="784">
        <v>42640</v>
      </c>
      <c r="IJ29" s="784">
        <v>108364</v>
      </c>
      <c r="IK29" s="784">
        <v>407846</v>
      </c>
      <c r="IL29" s="784">
        <v>54530</v>
      </c>
      <c r="IM29" s="784">
        <v>202435</v>
      </c>
      <c r="IN29" s="784">
        <v>0</v>
      </c>
      <c r="IO29" s="784">
        <v>0</v>
      </c>
      <c r="IP29" s="784">
        <v>5326</v>
      </c>
      <c r="IQ29" s="784">
        <v>5431</v>
      </c>
      <c r="IR29" s="784">
        <v>25168</v>
      </c>
      <c r="IS29" s="784">
        <v>21842</v>
      </c>
      <c r="IT29" s="784">
        <v>-76279</v>
      </c>
      <c r="IU29" s="784">
        <v>24668</v>
      </c>
      <c r="IV29" s="785">
        <v>-32705</v>
      </c>
      <c r="IW29" s="785">
        <v>-32705</v>
      </c>
      <c r="IX29" s="784">
        <v>52660539</v>
      </c>
      <c r="IY29" s="784">
        <v>62925248</v>
      </c>
      <c r="IZ29" s="784">
        <v>59502</v>
      </c>
      <c r="JA29" s="784">
        <v>26477</v>
      </c>
      <c r="JB29" s="787">
        <v>-18155</v>
      </c>
      <c r="JC29" s="788">
        <v>96433</v>
      </c>
      <c r="JD29" s="787">
        <v>-50287</v>
      </c>
      <c r="JE29" s="788">
        <v>871309</v>
      </c>
      <c r="JF29" s="787">
        <v>-179992</v>
      </c>
      <c r="JG29" s="788">
        <v>122102</v>
      </c>
      <c r="JH29" s="788">
        <v>95820</v>
      </c>
      <c r="JI29" s="788">
        <v>42787</v>
      </c>
      <c r="JJ29" s="789">
        <v>-249603</v>
      </c>
      <c r="JK29" s="788">
        <v>29682</v>
      </c>
      <c r="JL29" s="788">
        <v>253815</v>
      </c>
      <c r="JM29" s="788">
        <v>57045</v>
      </c>
      <c r="JN29" s="788">
        <v>44205</v>
      </c>
      <c r="JO29" s="788">
        <v>0</v>
      </c>
      <c r="JP29" s="788">
        <v>0</v>
      </c>
      <c r="JQ29" s="788">
        <v>0</v>
      </c>
      <c r="JR29" s="788">
        <v>20059</v>
      </c>
      <c r="JS29" s="788">
        <v>11946</v>
      </c>
      <c r="JT29" s="788">
        <v>34723</v>
      </c>
      <c r="JU29" s="788">
        <v>70053</v>
      </c>
      <c r="JV29" s="788">
        <v>252380</v>
      </c>
      <c r="JW29" s="788">
        <v>225153</v>
      </c>
      <c r="JX29" s="787">
        <v>0</v>
      </c>
      <c r="JY29" s="787">
        <v>0</v>
      </c>
      <c r="JZ29" s="788">
        <v>50026</v>
      </c>
      <c r="KA29" s="788">
        <v>65153</v>
      </c>
      <c r="KB29" s="788">
        <v>298655</v>
      </c>
      <c r="KC29" s="788">
        <v>172089</v>
      </c>
      <c r="KD29" s="788">
        <v>25196</v>
      </c>
      <c r="KE29" s="788">
        <v>30284</v>
      </c>
      <c r="KF29" s="788">
        <v>151177</v>
      </c>
      <c r="KG29" s="788">
        <v>87113</v>
      </c>
      <c r="KH29" s="788">
        <v>184246</v>
      </c>
      <c r="KI29" s="788">
        <v>0</v>
      </c>
      <c r="KJ29" s="788">
        <v>15163</v>
      </c>
      <c r="KK29" s="788">
        <v>33640</v>
      </c>
      <c r="KL29" s="788">
        <v>50430</v>
      </c>
      <c r="KM29" s="788">
        <v>0</v>
      </c>
      <c r="KN29" s="788">
        <v>132713</v>
      </c>
      <c r="KO29" s="788">
        <v>35301</v>
      </c>
      <c r="KP29" s="788">
        <v>45000</v>
      </c>
      <c r="KQ29" s="788">
        <v>0</v>
      </c>
      <c r="KR29" s="788">
        <v>954959</v>
      </c>
      <c r="KS29" s="788">
        <v>519284</v>
      </c>
      <c r="KT29" s="788">
        <v>272377</v>
      </c>
      <c r="KU29" s="788">
        <v>232195</v>
      </c>
      <c r="KV29" s="788">
        <v>0</v>
      </c>
      <c r="KW29" s="788">
        <v>0</v>
      </c>
      <c r="KX29" s="787">
        <v>-60167</v>
      </c>
      <c r="KY29" s="788">
        <v>0</v>
      </c>
      <c r="KZ29" s="788">
        <v>58472</v>
      </c>
      <c r="LA29" s="788">
        <v>-169573</v>
      </c>
      <c r="LB29" s="787">
        <v>0</v>
      </c>
      <c r="LC29" s="788">
        <v>6221</v>
      </c>
      <c r="LD29" s="788">
        <v>63159</v>
      </c>
      <c r="LE29" s="788">
        <v>181548</v>
      </c>
      <c r="LF29" s="787">
        <v>-5284884</v>
      </c>
      <c r="LG29" s="787">
        <v>-26186861</v>
      </c>
      <c r="LH29" s="788">
        <v>638920</v>
      </c>
      <c r="LI29" s="788">
        <v>380526</v>
      </c>
      <c r="LJ29" s="788">
        <v>30581</v>
      </c>
      <c r="LK29" s="787">
        <v>-4519</v>
      </c>
      <c r="LL29" s="788">
        <v>1339122</v>
      </c>
      <c r="LM29" s="788">
        <v>-39331</v>
      </c>
      <c r="LN29" s="788">
        <v>12508934</v>
      </c>
      <c r="LO29" s="788">
        <v>7759079</v>
      </c>
      <c r="LP29" s="788">
        <v>71272</v>
      </c>
      <c r="LQ29" s="787">
        <v>-419284</v>
      </c>
      <c r="LR29" s="788">
        <v>289599</v>
      </c>
      <c r="LS29" s="788">
        <v>1585000</v>
      </c>
      <c r="LT29" s="788">
        <v>66271</v>
      </c>
      <c r="LU29" s="788">
        <v>15389</v>
      </c>
      <c r="LV29" s="788">
        <v>29615</v>
      </c>
      <c r="LW29" s="788">
        <v>-117886</v>
      </c>
      <c r="LX29" s="788">
        <v>528791</v>
      </c>
      <c r="LY29" s="788">
        <v>1022957</v>
      </c>
      <c r="LZ29" s="788">
        <v>0</v>
      </c>
      <c r="MA29" s="788">
        <v>0</v>
      </c>
      <c r="MB29" s="787">
        <v>-248114</v>
      </c>
      <c r="MC29" s="787">
        <v>-245916</v>
      </c>
      <c r="MD29" s="788">
        <v>152219</v>
      </c>
      <c r="ME29" s="788">
        <v>-591299</v>
      </c>
      <c r="MF29" s="788">
        <v>508837</v>
      </c>
      <c r="MG29" s="788">
        <v>1296146</v>
      </c>
      <c r="MH29" s="788">
        <v>260437</v>
      </c>
      <c r="MI29" s="788">
        <v>268087</v>
      </c>
      <c r="MJ29" s="788">
        <v>344130</v>
      </c>
      <c r="MK29" s="788">
        <v>2124693</v>
      </c>
      <c r="ML29" s="788">
        <v>1615854</v>
      </c>
      <c r="MM29" s="788">
        <v>43795</v>
      </c>
      <c r="MN29" s="788">
        <v>42640</v>
      </c>
      <c r="MO29" s="788">
        <v>55000</v>
      </c>
      <c r="MP29" s="788">
        <v>407846</v>
      </c>
      <c r="MQ29" s="788">
        <v>544356</v>
      </c>
      <c r="MR29" s="788">
        <v>202435</v>
      </c>
      <c r="MS29" s="788">
        <v>404585</v>
      </c>
      <c r="MT29" s="787">
        <v>-2619</v>
      </c>
      <c r="MU29" s="788">
        <v>52057</v>
      </c>
      <c r="MV29" s="788">
        <v>5431</v>
      </c>
      <c r="MW29" s="788">
        <v>17408</v>
      </c>
      <c r="MX29" s="788">
        <v>21842</v>
      </c>
      <c r="MY29" s="788">
        <v>-109969</v>
      </c>
      <c r="MZ29" s="788">
        <v>24668</v>
      </c>
      <c r="NA29" s="788">
        <v>-45377</v>
      </c>
      <c r="NB29" s="787">
        <v>-32705</v>
      </c>
      <c r="NC29" s="788">
        <v>282649</v>
      </c>
      <c r="ND29" s="788">
        <v>62925248</v>
      </c>
      <c r="NE29" s="788">
        <v>74823</v>
      </c>
      <c r="NF29" s="788">
        <v>26477</v>
      </c>
      <c r="NG29" s="788">
        <v>104860</v>
      </c>
      <c r="NH29" s="790">
        <v>96433</v>
      </c>
      <c r="NI29" s="790">
        <f t="shared" ref="NI29:OQ29" si="21">+NI21-NI25</f>
        <v>56059</v>
      </c>
      <c r="NJ29" s="790">
        <f>+NJ21-NJ25</f>
        <v>1275438</v>
      </c>
      <c r="NK29" s="791">
        <f t="shared" si="21"/>
        <v>-951275</v>
      </c>
      <c r="NL29" s="790">
        <v>122102</v>
      </c>
      <c r="NM29" s="790">
        <f t="shared" si="21"/>
        <v>274174</v>
      </c>
      <c r="NN29" s="790">
        <f>+NN21-NN25</f>
        <v>48298</v>
      </c>
      <c r="NO29" s="790">
        <f t="shared" si="21"/>
        <v>151131</v>
      </c>
      <c r="NP29" s="790">
        <v>29682</v>
      </c>
      <c r="NQ29" s="790">
        <f t="shared" si="21"/>
        <v>15042</v>
      </c>
      <c r="NR29" s="790">
        <v>57045</v>
      </c>
      <c r="NS29" s="790">
        <f t="shared" si="21"/>
        <v>68344</v>
      </c>
      <c r="NT29" s="790">
        <v>44205</v>
      </c>
      <c r="NU29" s="790">
        <f t="shared" si="21"/>
        <v>0</v>
      </c>
      <c r="NV29" s="790">
        <f t="shared" si="21"/>
        <v>0</v>
      </c>
      <c r="NW29" s="790">
        <f t="shared" si="21"/>
        <v>0</v>
      </c>
      <c r="NX29" s="790">
        <f t="shared" si="21"/>
        <v>11946</v>
      </c>
      <c r="NY29" s="791">
        <f t="shared" si="21"/>
        <v>-7084</v>
      </c>
      <c r="NZ29" s="790">
        <f>+NZ21-NZ25</f>
        <v>70053</v>
      </c>
      <c r="OA29" s="790">
        <f t="shared" si="21"/>
        <v>46790</v>
      </c>
      <c r="OB29" s="790">
        <v>225153</v>
      </c>
      <c r="OC29" s="790">
        <f>+OC21-OC25</f>
        <v>191407</v>
      </c>
      <c r="OD29" s="791">
        <v>0</v>
      </c>
      <c r="OE29" s="790">
        <f t="shared" si="21"/>
        <v>0</v>
      </c>
      <c r="OF29" s="790">
        <f>+OF21-OF25</f>
        <v>65153</v>
      </c>
      <c r="OG29" s="790">
        <f t="shared" si="21"/>
        <v>35610</v>
      </c>
      <c r="OH29" s="790">
        <v>172089</v>
      </c>
      <c r="OI29" s="790">
        <f t="shared" si="21"/>
        <v>236750</v>
      </c>
      <c r="OJ29" s="790">
        <v>30284</v>
      </c>
      <c r="OK29" s="790">
        <f t="shared" si="21"/>
        <v>75984</v>
      </c>
      <c r="OL29" s="790">
        <f>+OL21-OL25</f>
        <v>87113</v>
      </c>
      <c r="OM29" s="791">
        <f t="shared" si="21"/>
        <v>-505666</v>
      </c>
      <c r="ON29" s="790">
        <f>+ON21-ON25</f>
        <v>0</v>
      </c>
      <c r="OO29" s="790">
        <f t="shared" si="21"/>
        <v>90150</v>
      </c>
      <c r="OP29" s="790">
        <v>33640</v>
      </c>
      <c r="OQ29" s="790">
        <f t="shared" si="21"/>
        <v>5002</v>
      </c>
      <c r="OR29" s="790">
        <v>0</v>
      </c>
      <c r="OS29" s="790">
        <f>+OS21-OS25</f>
        <v>0</v>
      </c>
      <c r="OT29" s="790">
        <v>35301</v>
      </c>
      <c r="OU29" s="791">
        <f t="shared" ref="OU29:PE29" si="22">+OU21-OU25</f>
        <v>-38732</v>
      </c>
      <c r="OV29" s="790">
        <f>+OV21-OV25</f>
        <v>0</v>
      </c>
      <c r="OW29" s="790">
        <f t="shared" si="22"/>
        <v>47152</v>
      </c>
      <c r="OX29" s="790">
        <v>519284</v>
      </c>
      <c r="OY29" s="790">
        <f t="shared" si="22"/>
        <v>781661</v>
      </c>
      <c r="OZ29" s="790">
        <v>232195</v>
      </c>
      <c r="PA29" s="791">
        <f t="shared" si="22"/>
        <v>-26295</v>
      </c>
      <c r="PB29" s="790">
        <f>+PB21-PB25</f>
        <v>6046</v>
      </c>
      <c r="PC29" s="790">
        <f>+PC21-PC25</f>
        <v>19528</v>
      </c>
      <c r="PD29" s="791">
        <f>+PD21-PD25</f>
        <v>0</v>
      </c>
      <c r="PE29" s="790">
        <f t="shared" si="22"/>
        <v>0</v>
      </c>
      <c r="PF29" s="791">
        <v>-169573</v>
      </c>
      <c r="PG29" s="790">
        <f>+PG21-PG25</f>
        <v>180537</v>
      </c>
      <c r="PH29" s="790">
        <v>6221</v>
      </c>
      <c r="PI29" s="790">
        <f>+PI21-PI25</f>
        <v>0</v>
      </c>
      <c r="PJ29" s="790">
        <v>181548</v>
      </c>
      <c r="PK29" s="790">
        <f t="shared" ref="PK29:PQ29" si="23">+PK21-PK25</f>
        <v>172754</v>
      </c>
      <c r="PL29" s="791">
        <f t="shared" si="23"/>
        <v>-182644</v>
      </c>
      <c r="PM29" s="790">
        <f t="shared" si="23"/>
        <v>11365964</v>
      </c>
      <c r="PN29" s="790">
        <f t="shared" si="23"/>
        <v>337043</v>
      </c>
      <c r="PO29" s="790">
        <f t="shared" si="23"/>
        <v>384528</v>
      </c>
      <c r="PP29" s="791">
        <f t="shared" si="23"/>
        <v>-4519</v>
      </c>
      <c r="PQ29" s="791">
        <f t="shared" si="23"/>
        <v>-309429</v>
      </c>
      <c r="PR29" s="791">
        <v>-39331</v>
      </c>
      <c r="PS29" s="791">
        <f t="shared" ref="PS29:PY29" si="24">+PS21-PS25</f>
        <v>-176456</v>
      </c>
      <c r="PT29" s="790">
        <f t="shared" si="24"/>
        <v>8496340</v>
      </c>
      <c r="PU29" s="790">
        <f t="shared" si="24"/>
        <v>10581084</v>
      </c>
      <c r="PV29" s="790">
        <f t="shared" si="24"/>
        <v>71272</v>
      </c>
      <c r="PW29" s="791">
        <f t="shared" si="24"/>
        <v>-419284</v>
      </c>
      <c r="PX29" s="790">
        <f t="shared" si="24"/>
        <v>5208000</v>
      </c>
      <c r="PY29" s="790">
        <f t="shared" si="24"/>
        <v>4900000</v>
      </c>
      <c r="PZ29" s="790">
        <v>15389</v>
      </c>
      <c r="QA29" s="790">
        <f t="shared" ref="QA29:QI29" si="25">+QA21-QA25</f>
        <v>36618</v>
      </c>
      <c r="QB29" s="791">
        <v>-117886</v>
      </c>
      <c r="QC29" s="790">
        <f t="shared" si="25"/>
        <v>57117</v>
      </c>
      <c r="QD29" s="790">
        <v>1022957</v>
      </c>
      <c r="QE29" s="790">
        <f t="shared" si="25"/>
        <v>1011709</v>
      </c>
      <c r="QF29" s="790">
        <f t="shared" si="25"/>
        <v>0</v>
      </c>
      <c r="QG29" s="790">
        <f t="shared" si="25"/>
        <v>0</v>
      </c>
      <c r="QH29" s="791">
        <v>-245916</v>
      </c>
      <c r="QI29" s="791">
        <f t="shared" si="25"/>
        <v>-303912</v>
      </c>
      <c r="QJ29" s="791">
        <v>-591299</v>
      </c>
      <c r="QK29" s="791">
        <f t="shared" ref="QK29:RK29" si="26">+QK21-QK25</f>
        <v>-1427680</v>
      </c>
      <c r="QL29" s="790">
        <v>1296146</v>
      </c>
      <c r="QM29" s="791">
        <f t="shared" si="26"/>
        <v>-1696766</v>
      </c>
      <c r="QN29" s="790">
        <f t="shared" si="26"/>
        <v>260437</v>
      </c>
      <c r="QO29" s="790">
        <f t="shared" si="26"/>
        <v>268087</v>
      </c>
      <c r="QP29" s="790">
        <v>2124693</v>
      </c>
      <c r="QQ29" s="790">
        <f t="shared" si="26"/>
        <v>2664200</v>
      </c>
      <c r="QR29" s="790">
        <v>43795</v>
      </c>
      <c r="QS29" s="790">
        <f t="shared" si="26"/>
        <v>1012425</v>
      </c>
      <c r="QT29" s="790">
        <v>55000</v>
      </c>
      <c r="QU29" s="790">
        <f t="shared" si="26"/>
        <v>48619</v>
      </c>
      <c r="QV29" s="790">
        <f t="shared" si="26"/>
        <v>407846</v>
      </c>
      <c r="QW29" s="790">
        <f t="shared" si="26"/>
        <v>544356</v>
      </c>
      <c r="QX29" s="790">
        <f>+QX21-QX25</f>
        <v>253853</v>
      </c>
      <c r="QY29" s="791">
        <f t="shared" si="26"/>
        <v>-101110</v>
      </c>
      <c r="QZ29" s="791">
        <f t="shared" si="26"/>
        <v>-2619</v>
      </c>
      <c r="RA29" s="790">
        <f t="shared" si="26"/>
        <v>52057</v>
      </c>
      <c r="RB29" s="790">
        <v>17408</v>
      </c>
      <c r="RC29" s="790">
        <f t="shared" si="26"/>
        <v>27897</v>
      </c>
      <c r="RD29" s="790">
        <f t="shared" si="26"/>
        <v>21842</v>
      </c>
      <c r="RE29" s="791">
        <f t="shared" si="26"/>
        <v>-109969</v>
      </c>
      <c r="RF29" s="791">
        <v>-45377</v>
      </c>
      <c r="RG29" s="790">
        <f t="shared" si="26"/>
        <v>0</v>
      </c>
      <c r="RH29" s="791">
        <f t="shared" si="26"/>
        <v>-32705</v>
      </c>
      <c r="RI29" s="790">
        <f t="shared" si="26"/>
        <v>282649</v>
      </c>
      <c r="RJ29" s="791">
        <f t="shared" si="26"/>
        <v>-16609305</v>
      </c>
      <c r="RK29" s="790">
        <f t="shared" si="26"/>
        <v>489554</v>
      </c>
      <c r="RL29" s="790">
        <v>104860</v>
      </c>
      <c r="RM29" s="790">
        <f>+RM21-RM25</f>
        <v>61821</v>
      </c>
      <c r="RN29" s="788">
        <v>455039</v>
      </c>
      <c r="RO29" s="788">
        <v>478987</v>
      </c>
      <c r="RP29" s="788">
        <v>-856123</v>
      </c>
      <c r="RQ29" s="788">
        <v>1971521</v>
      </c>
      <c r="RR29" s="788">
        <v>274174</v>
      </c>
      <c r="RS29" s="788">
        <v>95101</v>
      </c>
      <c r="RT29" s="788">
        <v>151131</v>
      </c>
      <c r="RU29" s="788">
        <v>117630</v>
      </c>
      <c r="RV29" s="788">
        <v>15042</v>
      </c>
      <c r="RW29" s="788">
        <v>20161</v>
      </c>
      <c r="RX29" s="788">
        <v>61398</v>
      </c>
      <c r="RY29" s="788">
        <v>27874</v>
      </c>
      <c r="RZ29" s="788">
        <v>0</v>
      </c>
      <c r="SA29" s="788">
        <v>0</v>
      </c>
      <c r="SB29" s="788">
        <v>0</v>
      </c>
      <c r="SC29" s="788">
        <v>0</v>
      </c>
      <c r="SD29" s="788">
        <v>-7084</v>
      </c>
      <c r="SE29" s="788">
        <v>55673</v>
      </c>
      <c r="SF29" s="788">
        <v>43117</v>
      </c>
      <c r="SG29" s="788">
        <v>119975</v>
      </c>
      <c r="SH29" s="788">
        <v>191407</v>
      </c>
      <c r="SI29" s="788">
        <v>272643</v>
      </c>
      <c r="SJ29" s="788">
        <v>0</v>
      </c>
      <c r="SK29" s="788">
        <v>0</v>
      </c>
      <c r="SL29" s="788">
        <v>35610</v>
      </c>
      <c r="SM29" s="788">
        <v>3810</v>
      </c>
      <c r="SN29" s="788">
        <v>236750</v>
      </c>
      <c r="SO29" s="788">
        <v>762231</v>
      </c>
      <c r="SP29" s="788">
        <v>75984</v>
      </c>
      <c r="SQ29" s="788">
        <v>71702</v>
      </c>
      <c r="SR29" s="788">
        <v>77421</v>
      </c>
      <c r="SS29" s="788">
        <v>332557</v>
      </c>
      <c r="ST29" s="788">
        <v>90150</v>
      </c>
      <c r="SU29" s="788"/>
      <c r="SV29" s="788">
        <v>22438</v>
      </c>
      <c r="SW29" s="788">
        <v>56544</v>
      </c>
      <c r="SX29" s="788">
        <v>0</v>
      </c>
      <c r="SY29" s="788">
        <v>44605</v>
      </c>
      <c r="SZ29" s="788">
        <v>-38732</v>
      </c>
      <c r="TA29" s="788">
        <v>6512</v>
      </c>
      <c r="TB29" s="788">
        <v>47152</v>
      </c>
      <c r="TC29" s="788">
        <v>0</v>
      </c>
      <c r="TD29" s="788">
        <v>303266</v>
      </c>
      <c r="TE29" s="788">
        <v>1365993</v>
      </c>
      <c r="TF29" s="788">
        <v>-26296</v>
      </c>
      <c r="TG29" s="788">
        <v>-43253</v>
      </c>
      <c r="TH29" s="788">
        <v>6674</v>
      </c>
      <c r="TI29" s="788">
        <v>-20965</v>
      </c>
      <c r="TJ29" s="788">
        <v>0</v>
      </c>
      <c r="TK29" s="788">
        <v>0</v>
      </c>
      <c r="TL29" s="788">
        <v>328080</v>
      </c>
      <c r="TM29" s="788">
        <v>-287141</v>
      </c>
      <c r="TN29" s="788">
        <v>0</v>
      </c>
      <c r="TO29" s="788">
        <v>61727</v>
      </c>
      <c r="TP29" s="788">
        <v>-113829</v>
      </c>
      <c r="TQ29" s="788">
        <v>-26697</v>
      </c>
      <c r="TR29" s="788">
        <v>11365964</v>
      </c>
      <c r="TS29" s="788">
        <v>1571572</v>
      </c>
      <c r="TT29" s="788">
        <v>384528</v>
      </c>
      <c r="TU29" s="788">
        <v>378823</v>
      </c>
      <c r="TV29" s="788">
        <v>1004837000</v>
      </c>
      <c r="TW29" s="788">
        <v>359826000</v>
      </c>
      <c r="TX29" s="788">
        <v>-176456</v>
      </c>
      <c r="TY29" s="788">
        <v>102394</v>
      </c>
      <c r="TZ29" s="788">
        <v>10581084</v>
      </c>
      <c r="UA29" s="788">
        <v>11403315</v>
      </c>
      <c r="UB29" s="788">
        <v>-419284</v>
      </c>
      <c r="UC29" s="788">
        <v>0</v>
      </c>
      <c r="UD29" s="788">
        <v>4900000</v>
      </c>
      <c r="UE29" s="788">
        <v>12692000</v>
      </c>
      <c r="UF29" s="788">
        <v>36618</v>
      </c>
      <c r="UG29" s="788">
        <v>212862</v>
      </c>
      <c r="UH29" s="788">
        <v>301181</v>
      </c>
      <c r="UI29" s="788">
        <v>-121626</v>
      </c>
      <c r="UJ29" s="788">
        <v>358301</v>
      </c>
      <c r="UK29" s="788">
        <v>-16844</v>
      </c>
      <c r="UL29" s="788">
        <v>0</v>
      </c>
      <c r="UM29" s="788">
        <v>0</v>
      </c>
      <c r="UN29" s="788">
        <v>-303912</v>
      </c>
      <c r="UO29" s="788">
        <v>-323537</v>
      </c>
      <c r="UP29" s="788">
        <v>-1136980</v>
      </c>
      <c r="UQ29" s="788">
        <v>-195119</v>
      </c>
      <c r="UR29" s="788">
        <v>-1696765</v>
      </c>
      <c r="US29" s="788">
        <v>988090</v>
      </c>
      <c r="UT29" s="788">
        <v>268087</v>
      </c>
      <c r="UU29" s="788">
        <v>0</v>
      </c>
      <c r="UV29" s="788">
        <v>2664200</v>
      </c>
      <c r="UW29" s="788">
        <v>62627</v>
      </c>
      <c r="UX29" s="788">
        <v>-165855</v>
      </c>
      <c r="UY29" s="788">
        <v>-284549</v>
      </c>
      <c r="UZ29" s="788">
        <v>48619</v>
      </c>
      <c r="VA29" s="788">
        <v>34800</v>
      </c>
      <c r="VB29" s="788">
        <v>-3387242</v>
      </c>
      <c r="VC29" s="788">
        <v>-3413652</v>
      </c>
      <c r="VD29" s="788">
        <v>-103103</v>
      </c>
      <c r="VE29" s="788">
        <v>419465</v>
      </c>
      <c r="VF29" s="788">
        <v>52057</v>
      </c>
      <c r="VG29" s="788">
        <v>0</v>
      </c>
      <c r="VH29" s="788">
        <v>27897</v>
      </c>
      <c r="VI29" s="788">
        <v>18300</v>
      </c>
      <c r="VJ29" s="788">
        <v>-17825</v>
      </c>
      <c r="VK29" s="788">
        <v>618</v>
      </c>
      <c r="VL29" s="788">
        <v>0</v>
      </c>
      <c r="VM29" s="788">
        <v>98782</v>
      </c>
      <c r="VN29" s="788">
        <v>282649</v>
      </c>
      <c r="VO29" s="788">
        <v>0</v>
      </c>
      <c r="VP29" s="788">
        <v>489554</v>
      </c>
      <c r="VQ29" s="788">
        <v>6447432</v>
      </c>
      <c r="VR29" s="788">
        <v>61821</v>
      </c>
      <c r="VS29" s="788">
        <v>68823</v>
      </c>
      <c r="VT29" s="788">
        <v>478987</v>
      </c>
      <c r="VU29" s="788">
        <v>387343</v>
      </c>
      <c r="VV29" s="788">
        <v>1500006</v>
      </c>
      <c r="VW29" s="788">
        <v>157797</v>
      </c>
      <c r="VX29" s="788">
        <v>95101</v>
      </c>
      <c r="VY29" s="788">
        <v>5308</v>
      </c>
      <c r="VZ29" s="788">
        <v>117630</v>
      </c>
      <c r="WA29" s="788">
        <v>193845</v>
      </c>
      <c r="WB29" s="788">
        <v>20161</v>
      </c>
      <c r="WC29" s="788">
        <v>57981</v>
      </c>
      <c r="WD29" s="788">
        <v>27874</v>
      </c>
      <c r="WE29" s="788">
        <v>70777</v>
      </c>
      <c r="WF29" s="788">
        <v>0</v>
      </c>
      <c r="WG29" s="788">
        <v>0</v>
      </c>
      <c r="WH29" s="788">
        <v>0</v>
      </c>
      <c r="WI29" s="788">
        <v>0</v>
      </c>
      <c r="WJ29" s="788">
        <v>55673</v>
      </c>
      <c r="WK29" s="788">
        <v>70238</v>
      </c>
      <c r="WL29" s="788">
        <v>86619</v>
      </c>
      <c r="WM29" s="788">
        <v>58930</v>
      </c>
      <c r="WN29" s="788">
        <v>272643</v>
      </c>
      <c r="WO29" s="788">
        <v>245436</v>
      </c>
      <c r="WP29" s="788">
        <v>0</v>
      </c>
      <c r="WQ29" s="788">
        <v>0</v>
      </c>
      <c r="WR29" s="788">
        <v>898546</v>
      </c>
      <c r="WS29" s="788">
        <v>1425616</v>
      </c>
      <c r="WT29" s="788">
        <v>762231</v>
      </c>
      <c r="WU29" s="788">
        <v>-174013</v>
      </c>
      <c r="WV29" s="788">
        <v>71702</v>
      </c>
      <c r="WW29" s="788">
        <v>46353</v>
      </c>
      <c r="WX29" s="788">
        <v>332557</v>
      </c>
      <c r="WY29" s="788">
        <v>-10421</v>
      </c>
      <c r="WZ29" s="788">
        <v>0</v>
      </c>
      <c r="XA29" s="788">
        <v>10509</v>
      </c>
      <c r="XB29" s="788">
        <v>56544</v>
      </c>
      <c r="XC29" s="788">
        <v>110828</v>
      </c>
      <c r="XD29" s="788">
        <v>44605</v>
      </c>
      <c r="XE29" s="788">
        <v>64422</v>
      </c>
      <c r="XF29" s="788">
        <v>6512</v>
      </c>
      <c r="XG29" s="788">
        <v>56725</v>
      </c>
      <c r="XH29" s="788">
        <v>-49246</v>
      </c>
      <c r="XI29" s="788">
        <v>-640884</v>
      </c>
      <c r="XJ29" s="788">
        <v>1365993</v>
      </c>
      <c r="XK29" s="788">
        <v>3475135</v>
      </c>
      <c r="XL29" s="788">
        <v>-43253</v>
      </c>
      <c r="XM29" s="788">
        <v>-10478</v>
      </c>
      <c r="XN29" s="788">
        <v>-219990</v>
      </c>
      <c r="XO29" s="788">
        <v>0</v>
      </c>
      <c r="XP29" s="788">
        <v>0</v>
      </c>
      <c r="XQ29" s="788">
        <v>0</v>
      </c>
      <c r="XR29" s="788">
        <v>-287141</v>
      </c>
      <c r="XS29" s="788">
        <v>392430</v>
      </c>
      <c r="XT29" s="788">
        <v>61727</v>
      </c>
      <c r="XU29" s="788">
        <v>33435</v>
      </c>
      <c r="XV29" s="788">
        <v>301813</v>
      </c>
      <c r="XW29" s="788">
        <v>182397</v>
      </c>
      <c r="XX29" s="788">
        <v>1571572</v>
      </c>
      <c r="XY29" s="788">
        <v>378311</v>
      </c>
      <c r="XZ29" s="788">
        <v>368748</v>
      </c>
      <c r="YA29" s="788">
        <v>329300</v>
      </c>
      <c r="YB29" s="788">
        <v>359826</v>
      </c>
      <c r="YC29" s="788">
        <v>242712</v>
      </c>
      <c r="YD29" s="788">
        <v>1624190</v>
      </c>
      <c r="YE29" s="788">
        <v>1643267</v>
      </c>
      <c r="YF29" s="788">
        <v>11403315</v>
      </c>
      <c r="YG29" s="788">
        <v>8114778</v>
      </c>
      <c r="YH29" s="788">
        <v>0</v>
      </c>
      <c r="YI29" s="788">
        <v>0</v>
      </c>
      <c r="YJ29" s="788">
        <v>12692000</v>
      </c>
      <c r="YK29" s="788">
        <v>0</v>
      </c>
      <c r="YL29" s="788">
        <v>295627554</v>
      </c>
      <c r="YM29" s="788">
        <v>104959136</v>
      </c>
      <c r="YN29" s="788">
        <v>-121626</v>
      </c>
      <c r="YO29" s="788">
        <v>117869</v>
      </c>
      <c r="YP29" s="788">
        <v>-16844</v>
      </c>
      <c r="YQ29" s="788">
        <v>-328877</v>
      </c>
      <c r="YR29" s="788">
        <v>0</v>
      </c>
      <c r="YS29" s="788">
        <v>0</v>
      </c>
      <c r="YT29" s="788">
        <v>-323537</v>
      </c>
      <c r="YU29" s="788">
        <v>140040</v>
      </c>
      <c r="YV29" s="788">
        <v>-195119</v>
      </c>
      <c r="YW29" s="788">
        <v>-400446</v>
      </c>
      <c r="YX29" s="788">
        <v>988090</v>
      </c>
      <c r="YY29" s="788">
        <v>2836374</v>
      </c>
      <c r="YZ29" s="788">
        <v>92382</v>
      </c>
      <c r="ZA29" s="788">
        <v>57122</v>
      </c>
      <c r="ZB29" s="788">
        <v>62627</v>
      </c>
      <c r="ZC29" s="788">
        <v>-34198</v>
      </c>
      <c r="ZD29" s="788">
        <v>-284549</v>
      </c>
      <c r="ZE29" s="788">
        <v>-210462</v>
      </c>
      <c r="ZF29" s="788">
        <v>34800</v>
      </c>
      <c r="ZG29" s="788">
        <v>34800</v>
      </c>
      <c r="ZH29" s="788">
        <v>-3413652</v>
      </c>
      <c r="ZI29" s="788">
        <v>-1912589</v>
      </c>
      <c r="ZJ29" s="788">
        <v>419465</v>
      </c>
      <c r="ZK29" s="788">
        <v>169892</v>
      </c>
      <c r="ZL29" s="788">
        <v>0</v>
      </c>
      <c r="ZM29" s="788">
        <v>0</v>
      </c>
      <c r="ZN29" s="788">
        <v>18300</v>
      </c>
      <c r="ZO29" s="788">
        <v>23352</v>
      </c>
      <c r="ZP29" s="788">
        <v>618</v>
      </c>
      <c r="ZQ29" s="788">
        <v>0</v>
      </c>
      <c r="ZR29" s="788">
        <v>98782</v>
      </c>
      <c r="ZS29" s="788">
        <v>48038</v>
      </c>
      <c r="ZT29" s="788">
        <v>0</v>
      </c>
      <c r="ZU29" s="788">
        <v>0</v>
      </c>
      <c r="ZV29" s="788">
        <v>6447432</v>
      </c>
      <c r="ZW29" s="788">
        <v>1985354</v>
      </c>
      <c r="ZX29" s="788">
        <v>68822</v>
      </c>
      <c r="ZY29" s="788">
        <v>70667</v>
      </c>
      <c r="ZZ29" s="613">
        <v>-198684</v>
      </c>
      <c r="AAA29" s="613">
        <v>-447610</v>
      </c>
      <c r="AAB29" s="792">
        <v>280852</v>
      </c>
      <c r="AAC29" s="792">
        <v>35399</v>
      </c>
      <c r="AAD29" s="793">
        <v>92148</v>
      </c>
      <c r="AAE29" s="793">
        <v>80764</v>
      </c>
      <c r="AAF29" s="792">
        <v>42322</v>
      </c>
      <c r="AAG29" s="792">
        <v>17017</v>
      </c>
      <c r="AAH29" s="792">
        <v>256174</v>
      </c>
      <c r="AAI29" s="792">
        <v>90305</v>
      </c>
      <c r="AAJ29" s="792">
        <v>70424</v>
      </c>
      <c r="AAK29" s="792">
        <v>138407</v>
      </c>
      <c r="AAL29" s="792">
        <v>51955</v>
      </c>
      <c r="AAM29" s="792">
        <v>11213</v>
      </c>
      <c r="AAN29" s="792">
        <v>2914</v>
      </c>
      <c r="AAO29" s="613">
        <v>-913447</v>
      </c>
      <c r="AAP29" s="792">
        <v>168614</v>
      </c>
      <c r="AAQ29" s="792">
        <v>67518</v>
      </c>
      <c r="AAR29" s="792">
        <v>275908</v>
      </c>
      <c r="AAS29" s="792">
        <v>212564</v>
      </c>
      <c r="AAT29" s="794"/>
      <c r="AAU29" s="795">
        <v>38602</v>
      </c>
      <c r="AAV29" s="613">
        <v>-652</v>
      </c>
      <c r="AAW29" s="613">
        <v>-1850</v>
      </c>
      <c r="AAX29" s="792">
        <v>130378</v>
      </c>
      <c r="AAY29" s="792">
        <v>91273</v>
      </c>
      <c r="AAZ29" s="792">
        <v>147915</v>
      </c>
      <c r="ABA29" s="613">
        <v>-6966</v>
      </c>
      <c r="ABB29" s="613">
        <v>-41002</v>
      </c>
      <c r="ABC29" s="792">
        <v>15994</v>
      </c>
      <c r="ABD29" s="792">
        <v>582154</v>
      </c>
      <c r="ABE29" s="613">
        <v>-1116047</v>
      </c>
      <c r="ABF29" s="795">
        <v>3497</v>
      </c>
      <c r="ABG29" s="613">
        <v>-160916</v>
      </c>
      <c r="ABH29" s="796">
        <v>143699</v>
      </c>
      <c r="ABI29" s="792">
        <v>215540</v>
      </c>
      <c r="ABJ29" s="792">
        <v>4208165</v>
      </c>
      <c r="ABK29" s="613">
        <v>-199739</v>
      </c>
      <c r="ABL29" s="792">
        <v>329642</v>
      </c>
      <c r="ABM29" s="797">
        <v>129258</v>
      </c>
      <c r="ABN29" s="792">
        <v>174197</v>
      </c>
      <c r="ABO29" s="792">
        <v>158609</v>
      </c>
      <c r="ABP29" s="613">
        <v>-14710</v>
      </c>
      <c r="ABQ29" s="792">
        <v>117748</v>
      </c>
      <c r="ABR29" s="792">
        <v>14780201</v>
      </c>
      <c r="ABS29" s="792">
        <v>12296988</v>
      </c>
      <c r="ABT29" s="792">
        <v>364418</v>
      </c>
      <c r="ABU29" s="792">
        <v>68478</v>
      </c>
      <c r="ABV29" s="792">
        <v>5636000</v>
      </c>
      <c r="ABW29" s="792">
        <v>825000</v>
      </c>
      <c r="ABX29" s="792">
        <v>281722</v>
      </c>
      <c r="ABY29" s="792">
        <v>117889</v>
      </c>
      <c r="ABZ29" s="792">
        <v>1298004</v>
      </c>
      <c r="ACA29" s="792">
        <v>1888542</v>
      </c>
      <c r="ACB29" s="792">
        <v>572786</v>
      </c>
      <c r="ACC29" s="613">
        <v>-385097</v>
      </c>
      <c r="ACD29" s="792">
        <v>219185</v>
      </c>
      <c r="ACE29" s="792">
        <v>241527</v>
      </c>
      <c r="ACF29" s="613">
        <v>-269998</v>
      </c>
      <c r="ACG29" s="613">
        <v>-29372</v>
      </c>
      <c r="ACH29" s="792">
        <v>4137759</v>
      </c>
      <c r="ACI29" s="792">
        <v>1746585</v>
      </c>
      <c r="ACJ29" s="613">
        <v>-5590</v>
      </c>
      <c r="ACK29" s="792">
        <v>27262</v>
      </c>
      <c r="ACL29" s="792">
        <v>1068412</v>
      </c>
      <c r="ACM29" s="613">
        <v>-1768952</v>
      </c>
      <c r="ACN29" s="792">
        <v>19412</v>
      </c>
      <c r="ACO29" s="792">
        <v>46999</v>
      </c>
      <c r="ACP29" s="613">
        <v>-2029257</v>
      </c>
      <c r="ACQ29" s="613">
        <v>-1307931</v>
      </c>
      <c r="ACR29" s="792">
        <v>29053</v>
      </c>
      <c r="ACS29" s="613">
        <v>-42528</v>
      </c>
      <c r="ACT29" s="792">
        <v>114852</v>
      </c>
      <c r="ACU29" s="613">
        <v>-2556</v>
      </c>
      <c r="ACV29" s="792">
        <v>605</v>
      </c>
      <c r="ACW29" s="613">
        <v>-1200</v>
      </c>
      <c r="ACX29" s="792">
        <v>3136561</v>
      </c>
      <c r="ACY29" s="792">
        <v>1462658</v>
      </c>
      <c r="ACZ29" s="614">
        <v>37374</v>
      </c>
      <c r="ADA29" s="614">
        <v>-51342</v>
      </c>
      <c r="ADB29" s="614">
        <v>183830</v>
      </c>
      <c r="ADC29" s="614">
        <v>560663</v>
      </c>
      <c r="ADD29" s="763">
        <v>633586244</v>
      </c>
      <c r="ADE29" s="763">
        <v>-559127575</v>
      </c>
      <c r="ADF29" s="763">
        <v>10299563</v>
      </c>
      <c r="ADG29" s="763">
        <v>27360584</v>
      </c>
      <c r="ADH29" s="614">
        <v>-20753524</v>
      </c>
      <c r="ADI29" s="614">
        <v>-20753524</v>
      </c>
      <c r="ADJ29" s="763">
        <v>40756000</v>
      </c>
      <c r="ADK29" s="763">
        <v>41052000</v>
      </c>
      <c r="ADL29" s="614">
        <v>0</v>
      </c>
      <c r="ADM29" s="614">
        <v>0</v>
      </c>
      <c r="ADN29" s="763">
        <v>45798000</v>
      </c>
      <c r="ADO29" s="763">
        <v>55730005</v>
      </c>
      <c r="ADP29" s="763">
        <v>-96299512</v>
      </c>
      <c r="ADQ29" s="763">
        <v>99663409</v>
      </c>
      <c r="ADR29" s="763">
        <v>0</v>
      </c>
      <c r="ADS29" s="763">
        <v>0</v>
      </c>
      <c r="ADT29" s="763">
        <v>97815280</v>
      </c>
      <c r="ADU29" s="763">
        <v>116719850</v>
      </c>
      <c r="ADV29" s="763">
        <v>179902107</v>
      </c>
      <c r="ADW29" s="763">
        <v>138911992</v>
      </c>
      <c r="ADX29" s="763">
        <v>20470908</v>
      </c>
      <c r="ADY29" s="763">
        <v>131276000</v>
      </c>
      <c r="ADZ29" s="763">
        <v>0</v>
      </c>
      <c r="AEA29" s="763">
        <v>0</v>
      </c>
      <c r="AEB29" s="763">
        <v>-246207125</v>
      </c>
      <c r="AEC29" s="763">
        <v>-527314387</v>
      </c>
      <c r="AED29" s="763">
        <v>192870130</v>
      </c>
      <c r="AEE29" s="763">
        <v>178683721</v>
      </c>
      <c r="AEF29" s="763">
        <v>527909455</v>
      </c>
      <c r="AEG29" s="763">
        <v>1562270622</v>
      </c>
      <c r="AEH29" s="763">
        <v>-1369907</v>
      </c>
      <c r="AEI29" s="763">
        <v>-111148</v>
      </c>
      <c r="AEJ29" s="763">
        <v>196982659</v>
      </c>
      <c r="AEK29" s="763">
        <v>87391267</v>
      </c>
      <c r="AEL29" s="763">
        <v>274312221</v>
      </c>
      <c r="AEM29" s="763">
        <v>544181153</v>
      </c>
      <c r="AEN29" s="614">
        <v>512803</v>
      </c>
      <c r="AEO29" s="614">
        <v>-907457</v>
      </c>
      <c r="AEP29" s="763">
        <v>17017441183</v>
      </c>
      <c r="AEQ29" s="763">
        <v>26308160472</v>
      </c>
      <c r="AER29" s="614">
        <v>0</v>
      </c>
      <c r="AES29" s="614">
        <v>0</v>
      </c>
      <c r="AET29" s="614">
        <v>0</v>
      </c>
      <c r="AEU29" s="614">
        <v>0</v>
      </c>
      <c r="AEV29" s="614">
        <v>-27627000</v>
      </c>
      <c r="AEW29" s="614">
        <v>-41465000</v>
      </c>
      <c r="AEX29" s="763">
        <v>221824646.0800004</v>
      </c>
      <c r="AEY29" s="763">
        <v>192207609.57999992</v>
      </c>
      <c r="AEZ29" s="614">
        <v>0</v>
      </c>
      <c r="AFA29" s="614">
        <v>0</v>
      </c>
      <c r="AFB29" s="763">
        <v>1577702156</v>
      </c>
      <c r="AFC29" s="763">
        <v>4359911693</v>
      </c>
      <c r="AFD29" s="763">
        <v>1022863168</v>
      </c>
      <c r="AFE29" s="763">
        <v>750769882</v>
      </c>
      <c r="AFF29" s="763">
        <v>2545061287</v>
      </c>
      <c r="AFG29" s="763">
        <v>2028394949</v>
      </c>
      <c r="AFH29" s="763">
        <v>1646631772</v>
      </c>
      <c r="AFI29" s="763">
        <v>2128992235</v>
      </c>
      <c r="AFJ29" s="763">
        <v>2361602169</v>
      </c>
      <c r="AFK29" s="763">
        <v>3104481049</v>
      </c>
      <c r="AFL29" s="614">
        <v>-15401</v>
      </c>
      <c r="AFM29" s="614">
        <v>37611</v>
      </c>
      <c r="AFN29" s="614">
        <v>5430204</v>
      </c>
      <c r="AFO29" s="614">
        <v>-5801938</v>
      </c>
      <c r="AFP29" s="763">
        <v>-2582061575</v>
      </c>
      <c r="AFQ29" s="763">
        <v>-1917197030</v>
      </c>
      <c r="AFR29" s="614">
        <v>29884047</v>
      </c>
      <c r="AFS29" s="614">
        <v>11190024</v>
      </c>
      <c r="AFT29" s="763">
        <v>-3440899000</v>
      </c>
      <c r="AFU29" s="763">
        <v>-146645175</v>
      </c>
      <c r="AFV29" s="614">
        <v>22363000</v>
      </c>
      <c r="AFW29" s="614">
        <v>37836000</v>
      </c>
      <c r="AFX29" s="763">
        <v>-1404753036</v>
      </c>
      <c r="AFY29" s="763">
        <v>2537414910</v>
      </c>
      <c r="AFZ29" s="643">
        <v>209997197</v>
      </c>
      <c r="AGA29" s="643">
        <v>364859788</v>
      </c>
      <c r="AGB29" s="643">
        <v>4359911693</v>
      </c>
      <c r="AGC29" s="643">
        <v>860444930</v>
      </c>
      <c r="AGD29" s="643">
        <v>87391267</v>
      </c>
      <c r="AGE29" s="643">
        <v>1270660070</v>
      </c>
      <c r="AGF29" s="643">
        <v>443102918</v>
      </c>
      <c r="AGG29" s="643">
        <v>150876556</v>
      </c>
      <c r="AGH29" s="643">
        <v>-185073518</v>
      </c>
      <c r="AGI29" s="643">
        <v>-662613363</v>
      </c>
      <c r="AGJ29" s="643">
        <v>17517660</v>
      </c>
      <c r="AGK29" s="643">
        <v>20935176</v>
      </c>
      <c r="AGL29" s="643">
        <v>-527314387</v>
      </c>
      <c r="AGM29" s="643">
        <v>355753111</v>
      </c>
      <c r="AGN29" s="643">
        <v>22986769817</v>
      </c>
      <c r="AGO29" s="643">
        <v>13107409611</v>
      </c>
      <c r="AGP29" s="643">
        <v>443102918</v>
      </c>
      <c r="AGQ29" s="643">
        <v>150876556</v>
      </c>
      <c r="AGR29" s="643">
        <v>-907456602</v>
      </c>
      <c r="AGS29" s="643">
        <v>744304681</v>
      </c>
      <c r="AGT29" s="643">
        <v>37611000</v>
      </c>
      <c r="AGU29" s="643">
        <v>69450000</v>
      </c>
      <c r="AGV29" s="643">
        <v>-173311622</v>
      </c>
      <c r="AGW29" s="643">
        <v>1969901699</v>
      </c>
      <c r="AGX29" s="736" t="s">
        <v>224</v>
      </c>
      <c r="AGY29" s="736" t="s">
        <v>224</v>
      </c>
      <c r="AGZ29" s="643">
        <v>2514639804</v>
      </c>
      <c r="AHA29" s="643">
        <v>1104055228</v>
      </c>
      <c r="AHB29" s="643">
        <v>-202056316</v>
      </c>
      <c r="AHC29" s="643">
        <v>42687047</v>
      </c>
      <c r="AHD29" s="643">
        <v>600740282</v>
      </c>
      <c r="AHE29" s="643">
        <v>926837554</v>
      </c>
      <c r="AHF29" s="643">
        <v>7422950000</v>
      </c>
      <c r="AHG29" s="643">
        <v>8194851000</v>
      </c>
      <c r="AHH29" s="643">
        <v>1585824622</v>
      </c>
      <c r="AHI29" s="643">
        <v>913757804</v>
      </c>
      <c r="AHJ29" s="643">
        <v>131276000</v>
      </c>
      <c r="AHK29" s="643">
        <v>32835000</v>
      </c>
      <c r="AHL29" s="643">
        <v>531135000</v>
      </c>
      <c r="AHM29" s="643">
        <v>-971886000</v>
      </c>
      <c r="AHN29" s="643">
        <v>507167575</v>
      </c>
      <c r="AHO29" s="643">
        <v>-3331932309</v>
      </c>
      <c r="AHP29" s="643">
        <v>67943000</v>
      </c>
      <c r="AHQ29" s="643">
        <v>-997234817</v>
      </c>
      <c r="AHR29" s="643">
        <v>179569000</v>
      </c>
      <c r="AHS29" s="643">
        <v>184439532</v>
      </c>
      <c r="AHT29" s="643">
        <v>138912002</v>
      </c>
      <c r="AHU29" s="643">
        <v>-313796677</v>
      </c>
      <c r="AHV29" s="643">
        <v>41052000</v>
      </c>
      <c r="AHW29" s="643">
        <v>39910000</v>
      </c>
      <c r="AHX29" s="643">
        <v>-1367812419</v>
      </c>
      <c r="AHY29" s="643">
        <v>214816160</v>
      </c>
      <c r="AHZ29" s="643">
        <v>434235615</v>
      </c>
      <c r="AIA29" s="643">
        <v>-376255904</v>
      </c>
      <c r="AIB29" s="643">
        <v>-596687155</v>
      </c>
      <c r="AIC29" s="643">
        <v>-502959173</v>
      </c>
      <c r="AID29" s="643">
        <v>9546000000</v>
      </c>
      <c r="AIE29" s="643">
        <v>15372000000</v>
      </c>
      <c r="AIF29" s="643">
        <v>353602000</v>
      </c>
      <c r="AIG29" s="643">
        <v>-73080000</v>
      </c>
      <c r="AIH29" s="798"/>
      <c r="AII29" s="643">
        <v>27171255</v>
      </c>
      <c r="AIJ29" s="643">
        <v>36194552659</v>
      </c>
      <c r="AIK29" s="643">
        <v>-713588502617</v>
      </c>
      <c r="AIL29" s="643">
        <v>1201290069</v>
      </c>
      <c r="AIM29" s="643">
        <v>1953230644</v>
      </c>
      <c r="AIN29" s="736" t="s">
        <v>224</v>
      </c>
      <c r="AIO29" s="643">
        <v>78409</v>
      </c>
      <c r="AIP29" s="736" t="s">
        <v>224</v>
      </c>
      <c r="AIQ29" s="643">
        <v>16769206</v>
      </c>
      <c r="AIR29" s="643">
        <v>-10969834000</v>
      </c>
      <c r="AIS29" s="643">
        <v>4650821000</v>
      </c>
      <c r="AIT29" s="643">
        <v>99663409</v>
      </c>
      <c r="AIU29" s="643">
        <v>140018733</v>
      </c>
      <c r="AIV29" s="643">
        <v>427247801</v>
      </c>
      <c r="AIW29" s="643">
        <v>492761478</v>
      </c>
      <c r="AIX29" s="643">
        <v>169910</v>
      </c>
      <c r="AIY29" s="643">
        <v>34947</v>
      </c>
      <c r="AIZ29" s="643">
        <v>405741203</v>
      </c>
      <c r="AJA29" s="643">
        <v>517806715</v>
      </c>
      <c r="AJB29" s="643">
        <v>-111148000</v>
      </c>
      <c r="AJC29" s="643">
        <v>-1320855000</v>
      </c>
      <c r="AJD29" s="643">
        <v>16171000</v>
      </c>
      <c r="AJE29" s="643">
        <v>2053000</v>
      </c>
      <c r="AJF29" s="643">
        <v>9546000000</v>
      </c>
      <c r="AJG29" s="643">
        <v>15372000000</v>
      </c>
      <c r="AJH29" s="643">
        <v>227984332</v>
      </c>
      <c r="AJI29" s="643">
        <v>391847677</v>
      </c>
      <c r="AJJ29" s="643">
        <v>-1917197030</v>
      </c>
      <c r="AJK29" s="643">
        <v>2891422979</v>
      </c>
      <c r="AJL29" s="643">
        <v>-73304991</v>
      </c>
      <c r="AJM29" s="643">
        <v>41423316</v>
      </c>
      <c r="AJN29" s="643">
        <v>-72809976</v>
      </c>
      <c r="AJO29" s="643">
        <v>420730315</v>
      </c>
    </row>
    <row r="30" spans="1:951" x14ac:dyDescent="0.25">
      <c r="A30" s="799" t="s">
        <v>34</v>
      </c>
      <c r="B30" s="800">
        <v>0</v>
      </c>
      <c r="C30" s="800">
        <v>635001.69099999964</v>
      </c>
      <c r="D30" s="800">
        <v>1059642.2520000003</v>
      </c>
      <c r="E30" s="800">
        <v>753495</v>
      </c>
      <c r="F30" s="800">
        <v>960290</v>
      </c>
      <c r="G30" s="800">
        <v>4848</v>
      </c>
      <c r="H30" s="800">
        <v>-100624</v>
      </c>
      <c r="I30" s="800">
        <v>61416.940999999875</v>
      </c>
      <c r="J30" s="800">
        <v>75458</v>
      </c>
      <c r="K30" s="800">
        <v>0</v>
      </c>
      <c r="L30" s="800">
        <v>1338480.9879999999</v>
      </c>
      <c r="M30" s="801">
        <v>-111861.47099999897</v>
      </c>
      <c r="N30" s="800">
        <v>253249.94100000151</v>
      </c>
      <c r="O30" s="801">
        <v>-21815</v>
      </c>
      <c r="P30" s="801">
        <v>-1384307</v>
      </c>
      <c r="Q30" s="800">
        <v>0</v>
      </c>
      <c r="R30" s="800">
        <v>36103.986000000034</v>
      </c>
      <c r="S30" s="800">
        <v>29542</v>
      </c>
      <c r="T30" s="800">
        <v>39538</v>
      </c>
      <c r="U30" s="800">
        <v>12109</v>
      </c>
      <c r="V30" s="800">
        <v>0</v>
      </c>
      <c r="W30" s="800">
        <v>0</v>
      </c>
      <c r="X30" s="800">
        <v>64023</v>
      </c>
      <c r="Y30" s="800">
        <v>77004</v>
      </c>
      <c r="Z30" s="800">
        <v>103658</v>
      </c>
      <c r="AA30" s="800">
        <v>0</v>
      </c>
      <c r="AB30" s="800">
        <v>9402.5810000000056</v>
      </c>
      <c r="AC30" s="800">
        <v>13123.239999999991</v>
      </c>
      <c r="AD30" s="800">
        <v>36567</v>
      </c>
      <c r="AE30" s="800">
        <v>37134</v>
      </c>
      <c r="AF30" s="800">
        <v>6749</v>
      </c>
      <c r="AG30" s="800">
        <v>18223.999999999069</v>
      </c>
      <c r="AH30" s="800">
        <v>2512.2000000000698</v>
      </c>
      <c r="AI30" s="800">
        <v>24638</v>
      </c>
      <c r="AJ30" s="800">
        <v>14222</v>
      </c>
      <c r="AK30" s="800">
        <v>0</v>
      </c>
      <c r="AL30" s="800">
        <v>54725.616999999969</v>
      </c>
      <c r="AM30" s="800">
        <v>35142.867000000086</v>
      </c>
      <c r="AN30" s="800">
        <v>42972</v>
      </c>
      <c r="AO30" s="800">
        <v>30638</v>
      </c>
      <c r="AP30" s="800">
        <v>0</v>
      </c>
      <c r="AQ30" s="800">
        <v>2339</v>
      </c>
      <c r="AR30" s="800">
        <v>15773</v>
      </c>
      <c r="AS30" s="800">
        <v>25063</v>
      </c>
      <c r="AT30" s="800">
        <v>45970</v>
      </c>
      <c r="AU30" s="800">
        <v>44480</v>
      </c>
      <c r="AV30" s="800">
        <v>20757</v>
      </c>
      <c r="AW30" s="800">
        <v>21705</v>
      </c>
      <c r="AX30" s="801">
        <v>-30805</v>
      </c>
      <c r="AY30" s="800">
        <v>0</v>
      </c>
      <c r="AZ30" s="800">
        <v>43566.616000000155</v>
      </c>
      <c r="BA30" s="800">
        <v>45560.053000000073</v>
      </c>
      <c r="BB30" s="800">
        <v>58935.462000000058</v>
      </c>
      <c r="BC30" s="801">
        <v>-484729</v>
      </c>
      <c r="BD30" s="800">
        <v>-128</v>
      </c>
      <c r="BE30" s="800">
        <v>0</v>
      </c>
      <c r="BF30" s="800">
        <v>16181.913999999873</v>
      </c>
      <c r="BG30" s="800">
        <v>38427.984000000171</v>
      </c>
      <c r="BH30" s="800">
        <v>63224</v>
      </c>
      <c r="BI30" s="800">
        <v>75276</v>
      </c>
      <c r="BJ30" s="800">
        <v>0</v>
      </c>
      <c r="BK30" s="800">
        <v>0</v>
      </c>
      <c r="BL30" s="801">
        <v>0</v>
      </c>
      <c r="BM30" s="801">
        <v>0</v>
      </c>
      <c r="BN30" s="800">
        <v>165413</v>
      </c>
      <c r="BO30" s="800">
        <v>0</v>
      </c>
      <c r="BP30" s="800">
        <v>0</v>
      </c>
      <c r="BQ30" s="800">
        <v>4409</v>
      </c>
      <c r="BR30" s="800">
        <v>24509</v>
      </c>
      <c r="BS30" s="800">
        <v>29996</v>
      </c>
      <c r="BT30" s="801">
        <v>-91819.021000000008</v>
      </c>
      <c r="BU30" s="801">
        <v>-248375.83500000002</v>
      </c>
      <c r="BV30" s="801">
        <v>-267434</v>
      </c>
      <c r="BW30" s="800">
        <v>79482</v>
      </c>
      <c r="BX30" s="801">
        <v>-27841</v>
      </c>
      <c r="BY30" s="800">
        <v>0</v>
      </c>
      <c r="BZ30" s="800">
        <v>53100.993999999948</v>
      </c>
      <c r="CA30" s="800">
        <v>32075.729999999981</v>
      </c>
      <c r="CB30" s="800">
        <v>29559</v>
      </c>
      <c r="CC30" s="800">
        <v>111806</v>
      </c>
      <c r="CD30" s="800">
        <v>44061.431000000011</v>
      </c>
      <c r="CE30" s="800">
        <v>36325.929000000004</v>
      </c>
      <c r="CF30" s="800">
        <v>5018.2810000000027</v>
      </c>
      <c r="CG30" s="800">
        <v>5879</v>
      </c>
      <c r="CH30" s="800">
        <v>6250</v>
      </c>
      <c r="CI30" s="800">
        <v>0</v>
      </c>
      <c r="CJ30" s="800">
        <v>0</v>
      </c>
      <c r="CK30" s="800">
        <v>-0.5</v>
      </c>
      <c r="CL30" s="800">
        <v>250124</v>
      </c>
      <c r="CM30" s="800">
        <v>0</v>
      </c>
      <c r="CN30" s="800">
        <v>0</v>
      </c>
      <c r="CO30" s="800">
        <v>202986</v>
      </c>
      <c r="CP30" s="800">
        <v>259866.57400000002</v>
      </c>
      <c r="CQ30" s="800">
        <v>761532</v>
      </c>
      <c r="CR30" s="800">
        <v>65515</v>
      </c>
      <c r="CS30" s="800">
        <v>0</v>
      </c>
      <c r="CT30" s="801">
        <v>-9972.1970000000147</v>
      </c>
      <c r="CU30" s="800">
        <v>8028</v>
      </c>
      <c r="CV30" s="800">
        <v>-113868</v>
      </c>
      <c r="CW30" s="800">
        <v>9020</v>
      </c>
      <c r="CX30" s="800">
        <v>0</v>
      </c>
      <c r="CY30" s="800">
        <v>2274</v>
      </c>
      <c r="CZ30" s="800">
        <v>5846</v>
      </c>
      <c r="DA30" s="800">
        <v>5414</v>
      </c>
      <c r="DB30" s="800">
        <v>5326</v>
      </c>
      <c r="DC30" s="800">
        <v>4595</v>
      </c>
      <c r="DD30" s="800">
        <v>6569</v>
      </c>
      <c r="DE30" s="800">
        <v>6216</v>
      </c>
      <c r="DF30" s="800">
        <v>9500</v>
      </c>
      <c r="DG30" s="800">
        <v>25168</v>
      </c>
      <c r="DH30" s="800">
        <v>0</v>
      </c>
      <c r="DI30" s="800">
        <v>0</v>
      </c>
      <c r="DJ30" s="800">
        <v>0</v>
      </c>
      <c r="DK30" s="800">
        <v>0</v>
      </c>
      <c r="DL30" s="800">
        <v>-76603</v>
      </c>
      <c r="DM30" s="800">
        <v>117516</v>
      </c>
      <c r="DN30" s="800">
        <v>91654</v>
      </c>
      <c r="DO30" s="800">
        <v>302495</v>
      </c>
      <c r="DP30" s="800">
        <v>354263</v>
      </c>
      <c r="DQ30" s="800">
        <v>167517</v>
      </c>
      <c r="DR30" s="800">
        <v>8956971.8229999989</v>
      </c>
      <c r="DS30" s="800">
        <v>1827186.8650000095</v>
      </c>
      <c r="DT30" s="800">
        <v>15727539.805000007</v>
      </c>
      <c r="DU30" s="800">
        <v>47330899</v>
      </c>
      <c r="DV30" s="800">
        <v>41207544</v>
      </c>
      <c r="DW30" s="800">
        <v>28480.308000000077</v>
      </c>
      <c r="DX30" s="800">
        <v>14199.809999999939</v>
      </c>
      <c r="DY30" s="800">
        <v>37352.844000000041</v>
      </c>
      <c r="DZ30" s="800">
        <v>40788</v>
      </c>
      <c r="EA30" s="800">
        <v>26749</v>
      </c>
      <c r="EB30" s="800">
        <v>0</v>
      </c>
      <c r="EC30" s="800">
        <v>0</v>
      </c>
      <c r="ED30" s="800">
        <v>0</v>
      </c>
      <c r="EE30" s="800">
        <v>0</v>
      </c>
      <c r="EF30" s="800">
        <v>14097</v>
      </c>
      <c r="EG30" s="800">
        <v>0</v>
      </c>
      <c r="EH30" s="800">
        <v>0</v>
      </c>
      <c r="EI30" s="800">
        <v>0</v>
      </c>
      <c r="EJ30" s="800">
        <v>-667736</v>
      </c>
      <c r="EK30" s="800">
        <v>18487</v>
      </c>
      <c r="EL30" s="800">
        <v>0</v>
      </c>
      <c r="EM30" s="800">
        <v>0</v>
      </c>
      <c r="EN30" s="800">
        <v>0</v>
      </c>
      <c r="EO30" s="801">
        <v>-40302</v>
      </c>
      <c r="EP30" s="801">
        <v>-355152</v>
      </c>
      <c r="EQ30" s="800">
        <v>0</v>
      </c>
      <c r="ER30" s="800">
        <v>0</v>
      </c>
      <c r="ES30" s="800">
        <v>0</v>
      </c>
      <c r="ET30" s="800">
        <v>0</v>
      </c>
      <c r="EU30" s="800">
        <v>35854</v>
      </c>
      <c r="EV30" s="802">
        <v>25074</v>
      </c>
      <c r="EW30" s="802">
        <v>-44197</v>
      </c>
      <c r="EX30" s="803">
        <v>-1384307</v>
      </c>
      <c r="EY30" s="803">
        <v>179594</v>
      </c>
      <c r="EZ30" s="802">
        <v>12109</v>
      </c>
      <c r="FA30" s="802">
        <v>64775</v>
      </c>
      <c r="FB30" s="802">
        <v>37134</v>
      </c>
      <c r="FC30" s="802">
        <v>34689</v>
      </c>
      <c r="FD30" s="802">
        <v>14222</v>
      </c>
      <c r="FE30" s="802">
        <v>31448</v>
      </c>
      <c r="FF30" s="802">
        <v>30638</v>
      </c>
      <c r="FG30" s="802">
        <v>150112</v>
      </c>
      <c r="FH30" s="802">
        <v>45970</v>
      </c>
      <c r="FI30" s="802">
        <v>0</v>
      </c>
      <c r="FJ30" s="802">
        <v>0</v>
      </c>
      <c r="FK30" s="802">
        <v>0</v>
      </c>
      <c r="FL30" s="802">
        <v>0</v>
      </c>
      <c r="FM30" s="802">
        <v>43139</v>
      </c>
      <c r="FN30" s="802">
        <v>29996</v>
      </c>
      <c r="FO30" s="802">
        <v>22728</v>
      </c>
      <c r="FP30" s="802">
        <v>75276</v>
      </c>
      <c r="FQ30" s="802">
        <v>66217</v>
      </c>
      <c r="FR30" s="803">
        <v>-27841</v>
      </c>
      <c r="FS30" s="803">
        <v>0</v>
      </c>
      <c r="FT30" s="802">
        <v>-128</v>
      </c>
      <c r="FU30" s="802">
        <v>20717</v>
      </c>
      <c r="FV30" s="802">
        <v>111806</v>
      </c>
      <c r="FW30" s="802">
        <v>99208</v>
      </c>
      <c r="FX30" s="802">
        <v>14097</v>
      </c>
      <c r="FY30" s="802">
        <v>25196</v>
      </c>
      <c r="FZ30" s="802">
        <v>103658</v>
      </c>
      <c r="GA30" s="802">
        <v>133117</v>
      </c>
      <c r="GB30" s="802">
        <v>165413</v>
      </c>
      <c r="GC30" s="802">
        <v>156342</v>
      </c>
      <c r="GD30" s="802">
        <v>6250</v>
      </c>
      <c r="GE30" s="802">
        <v>10060</v>
      </c>
      <c r="GF30" s="802"/>
      <c r="GG30" s="802"/>
      <c r="GH30" s="802">
        <v>65515</v>
      </c>
      <c r="GI30" s="802">
        <v>56152</v>
      </c>
      <c r="GJ30" s="802">
        <v>28810</v>
      </c>
      <c r="GK30" s="802">
        <v>45000</v>
      </c>
      <c r="GL30" s="802">
        <v>145760</v>
      </c>
      <c r="GM30" s="802">
        <v>495881</v>
      </c>
      <c r="GN30" s="802">
        <v>19206</v>
      </c>
      <c r="GO30" s="802">
        <v>44132</v>
      </c>
      <c r="GP30" s="802">
        <v>-14291</v>
      </c>
      <c r="GQ30" s="802">
        <v>-43921</v>
      </c>
      <c r="GR30" s="802"/>
      <c r="GS30" s="802"/>
      <c r="GT30" s="802">
        <v>57604</v>
      </c>
      <c r="GU30" s="802">
        <v>13480</v>
      </c>
      <c r="GV30" s="802">
        <v>0</v>
      </c>
      <c r="GW30" s="802">
        <v>0</v>
      </c>
      <c r="GX30" s="802">
        <v>17658</v>
      </c>
      <c r="GY30" s="802">
        <v>42759</v>
      </c>
      <c r="GZ30" s="803">
        <v>-8414298</v>
      </c>
      <c r="HA30" s="802">
        <v>-21876216</v>
      </c>
      <c r="HB30" s="802">
        <v>306214</v>
      </c>
      <c r="HC30" s="803">
        <v>266715</v>
      </c>
      <c r="HD30" s="802">
        <v>17799</v>
      </c>
      <c r="HE30" s="802">
        <v>39519</v>
      </c>
      <c r="HF30" s="802">
        <v>563280</v>
      </c>
      <c r="HG30" s="802">
        <v>576374</v>
      </c>
      <c r="HH30" s="802">
        <v>6105591</v>
      </c>
      <c r="HI30" s="802">
        <v>8591962</v>
      </c>
      <c r="HJ30" s="802">
        <v>70180</v>
      </c>
      <c r="HK30" s="802">
        <v>34686</v>
      </c>
      <c r="HL30" s="802">
        <v>-2615221</v>
      </c>
      <c r="HM30" s="802">
        <v>-1422161</v>
      </c>
      <c r="HN30" s="802">
        <v>29587</v>
      </c>
      <c r="HO30" s="802">
        <v>44487</v>
      </c>
      <c r="HP30" s="802">
        <v>27281</v>
      </c>
      <c r="HQ30" s="802">
        <v>4941</v>
      </c>
      <c r="HR30" s="802">
        <v>103516</v>
      </c>
      <c r="HS30" s="802">
        <v>72869</v>
      </c>
      <c r="HT30" s="802">
        <v>18487</v>
      </c>
      <c r="HU30" s="802">
        <v>0</v>
      </c>
      <c r="HV30" s="803">
        <v>-355152</v>
      </c>
      <c r="HW30" s="802">
        <v>-264749</v>
      </c>
      <c r="HX30" s="802">
        <v>88990</v>
      </c>
      <c r="HY30" s="802">
        <v>30227</v>
      </c>
      <c r="HZ30" s="802">
        <v>85917</v>
      </c>
      <c r="IA30" s="802">
        <v>191077</v>
      </c>
      <c r="IB30" s="802">
        <v>152834</v>
      </c>
      <c r="IC30" s="802">
        <v>125369</v>
      </c>
      <c r="ID30" s="802">
        <v>372481</v>
      </c>
      <c r="IE30" s="802">
        <v>-345268</v>
      </c>
      <c r="IF30" s="802">
        <v>676656</v>
      </c>
      <c r="IG30" s="802">
        <v>506022</v>
      </c>
      <c r="IH30" s="802">
        <v>8921</v>
      </c>
      <c r="II30" s="802">
        <v>35098</v>
      </c>
      <c r="IJ30" s="802">
        <v>49189</v>
      </c>
      <c r="IK30" s="802">
        <v>2558</v>
      </c>
      <c r="IL30" s="802">
        <v>35854</v>
      </c>
      <c r="IM30" s="802">
        <v>94488</v>
      </c>
      <c r="IN30" s="802">
        <v>0</v>
      </c>
      <c r="IO30" s="802">
        <v>0</v>
      </c>
      <c r="IP30" s="802">
        <v>5326</v>
      </c>
      <c r="IQ30" s="802">
        <v>5431</v>
      </c>
      <c r="IR30" s="802">
        <v>25168</v>
      </c>
      <c r="IS30" s="802">
        <v>11673</v>
      </c>
      <c r="IT30" s="802">
        <v>-76603</v>
      </c>
      <c r="IU30" s="802">
        <v>22969</v>
      </c>
      <c r="IV30" s="802">
        <v>167517</v>
      </c>
      <c r="IW30" s="802">
        <v>167517</v>
      </c>
      <c r="IX30" s="802">
        <v>41207544</v>
      </c>
      <c r="IY30" s="802">
        <v>51729600</v>
      </c>
      <c r="IZ30" s="802">
        <v>26749</v>
      </c>
      <c r="JA30" s="802">
        <v>17085</v>
      </c>
      <c r="JB30" s="804">
        <v>-44197</v>
      </c>
      <c r="JC30" s="804">
        <v>13511</v>
      </c>
      <c r="JD30" s="804">
        <v>179594</v>
      </c>
      <c r="JE30" s="804">
        <v>481656</v>
      </c>
      <c r="JF30" s="804">
        <v>64775</v>
      </c>
      <c r="JG30" s="804">
        <v>27251</v>
      </c>
      <c r="JH30" s="804">
        <v>34689</v>
      </c>
      <c r="JI30" s="804">
        <v>30223</v>
      </c>
      <c r="JJ30" s="804">
        <v>31447</v>
      </c>
      <c r="JK30" s="804">
        <v>70446</v>
      </c>
      <c r="JL30" s="804">
        <v>150112</v>
      </c>
      <c r="JM30" s="804">
        <v>29434</v>
      </c>
      <c r="JN30" s="804">
        <v>43459</v>
      </c>
      <c r="JO30" s="804">
        <v>0</v>
      </c>
      <c r="JP30" s="804">
        <v>0</v>
      </c>
      <c r="JQ30" s="804">
        <v>0</v>
      </c>
      <c r="JR30" s="804">
        <v>43139</v>
      </c>
      <c r="JS30" s="804">
        <v>57458</v>
      </c>
      <c r="JT30" s="804">
        <v>22728</v>
      </c>
      <c r="JU30" s="804">
        <v>29683</v>
      </c>
      <c r="JV30" s="804">
        <v>66217</v>
      </c>
      <c r="JW30" s="804">
        <v>52436</v>
      </c>
      <c r="JX30" s="805">
        <v>0</v>
      </c>
      <c r="JY30" s="805">
        <v>0</v>
      </c>
      <c r="JZ30" s="804">
        <v>20717</v>
      </c>
      <c r="KA30" s="804">
        <v>73240</v>
      </c>
      <c r="KB30" s="804">
        <v>99208</v>
      </c>
      <c r="KC30" s="804">
        <v>22966</v>
      </c>
      <c r="KD30" s="804">
        <v>25196</v>
      </c>
      <c r="KE30" s="804">
        <v>19989</v>
      </c>
      <c r="KF30" s="804">
        <v>133117</v>
      </c>
      <c r="KG30" s="804">
        <v>77795</v>
      </c>
      <c r="KH30" s="804">
        <v>156342</v>
      </c>
      <c r="KI30" s="804">
        <v>0</v>
      </c>
      <c r="KJ30" s="804">
        <v>10060</v>
      </c>
      <c r="KK30" s="804">
        <v>268715</v>
      </c>
      <c r="KL30" s="804">
        <v>13889</v>
      </c>
      <c r="KM30" s="804">
        <v>0</v>
      </c>
      <c r="KN30" s="804">
        <v>56152</v>
      </c>
      <c r="KO30" s="804">
        <v>29148</v>
      </c>
      <c r="KP30" s="804">
        <v>45000</v>
      </c>
      <c r="KQ30" s="804">
        <v>0</v>
      </c>
      <c r="KR30" s="804">
        <v>495881</v>
      </c>
      <c r="KS30" s="804">
        <v>291108</v>
      </c>
      <c r="KT30" s="804">
        <v>44132</v>
      </c>
      <c r="KU30" s="804">
        <v>174146</v>
      </c>
      <c r="KV30" s="804">
        <v>0</v>
      </c>
      <c r="KW30" s="804">
        <v>0</v>
      </c>
      <c r="KX30" s="804">
        <v>-60167</v>
      </c>
      <c r="KY30" s="804">
        <v>0</v>
      </c>
      <c r="KZ30" s="804">
        <v>13480</v>
      </c>
      <c r="LA30" s="804">
        <v>-236840</v>
      </c>
      <c r="LB30" s="804">
        <v>0</v>
      </c>
      <c r="LC30" s="804">
        <v>4665</v>
      </c>
      <c r="LD30" s="804">
        <v>42759</v>
      </c>
      <c r="LE30" s="804">
        <v>93057</v>
      </c>
      <c r="LF30" s="804">
        <v>-21876216</v>
      </c>
      <c r="LG30" s="804">
        <v>-17083652</v>
      </c>
      <c r="LH30" s="804">
        <v>266715</v>
      </c>
      <c r="LI30" s="804">
        <v>260468</v>
      </c>
      <c r="LJ30" s="804">
        <v>39519</v>
      </c>
      <c r="LK30" s="804">
        <v>8857</v>
      </c>
      <c r="LL30" s="804">
        <v>576374</v>
      </c>
      <c r="LM30" s="804">
        <v>-70752</v>
      </c>
      <c r="LN30" s="804">
        <v>8591962</v>
      </c>
      <c r="LO30" s="804">
        <v>3795428</v>
      </c>
      <c r="LP30" s="804">
        <v>34686</v>
      </c>
      <c r="LQ30" s="804">
        <v>-419279</v>
      </c>
      <c r="LR30" s="804">
        <v>-1422161</v>
      </c>
      <c r="LS30" s="804">
        <v>-8429000</v>
      </c>
      <c r="LT30" s="804">
        <v>44487</v>
      </c>
      <c r="LU30" s="804">
        <v>7966</v>
      </c>
      <c r="LV30" s="804">
        <v>4941</v>
      </c>
      <c r="LW30" s="804">
        <v>-91304</v>
      </c>
      <c r="LX30" s="804">
        <v>72869</v>
      </c>
      <c r="LY30" s="804">
        <v>331584</v>
      </c>
      <c r="LZ30" s="804">
        <v>0</v>
      </c>
      <c r="MA30" s="804">
        <v>0</v>
      </c>
      <c r="MB30" s="804">
        <v>-264749</v>
      </c>
      <c r="MC30" s="804">
        <v>-249116</v>
      </c>
      <c r="MD30" s="804">
        <v>30227</v>
      </c>
      <c r="ME30" s="804">
        <v>-998307</v>
      </c>
      <c r="MF30" s="804">
        <v>191077</v>
      </c>
      <c r="MG30" s="804">
        <v>224955</v>
      </c>
      <c r="MH30" s="804">
        <v>125369</v>
      </c>
      <c r="MI30" s="804">
        <v>140039</v>
      </c>
      <c r="MJ30" s="804">
        <v>-345268</v>
      </c>
      <c r="MK30" s="804">
        <v>553993</v>
      </c>
      <c r="ML30" s="804">
        <v>506022</v>
      </c>
      <c r="MM30" s="804">
        <v>840601</v>
      </c>
      <c r="MN30" s="804">
        <v>35098</v>
      </c>
      <c r="MO30" s="804">
        <v>55000</v>
      </c>
      <c r="MP30" s="804">
        <v>2558</v>
      </c>
      <c r="MQ30" s="804">
        <v>-53097</v>
      </c>
      <c r="MR30" s="804">
        <v>94488</v>
      </c>
      <c r="MS30" s="804">
        <v>232708</v>
      </c>
      <c r="MT30" s="804">
        <v>49036</v>
      </c>
      <c r="MU30" s="804">
        <v>49036</v>
      </c>
      <c r="MV30" s="804">
        <v>5431</v>
      </c>
      <c r="MW30" s="804">
        <v>17408</v>
      </c>
      <c r="MX30" s="804">
        <v>11673</v>
      </c>
      <c r="MY30" s="804">
        <v>-121069</v>
      </c>
      <c r="MZ30" s="804">
        <v>22969</v>
      </c>
      <c r="NA30" s="804">
        <v>4245</v>
      </c>
      <c r="NB30" s="804">
        <v>167517</v>
      </c>
      <c r="NC30" s="804">
        <v>105351</v>
      </c>
      <c r="ND30" s="804">
        <v>51729600</v>
      </c>
      <c r="NE30" s="804">
        <v>-5953572</v>
      </c>
      <c r="NF30" s="804">
        <v>17085</v>
      </c>
      <c r="NG30" s="804">
        <v>65682</v>
      </c>
      <c r="NH30" s="806">
        <v>13511</v>
      </c>
      <c r="NI30" s="806">
        <f t="shared" ref="NI30:OQ30" si="27">+NI23-NI28</f>
        <v>17273</v>
      </c>
      <c r="NJ30" s="806">
        <f>+NJ23-NJ28</f>
        <v>374094</v>
      </c>
      <c r="NK30" s="807">
        <f t="shared" si="27"/>
        <v>-432456</v>
      </c>
      <c r="NL30" s="806">
        <v>27251</v>
      </c>
      <c r="NM30" s="807">
        <f t="shared" si="27"/>
        <v>-114344</v>
      </c>
      <c r="NN30" s="806">
        <f>+NN23-NN28</f>
        <v>33496</v>
      </c>
      <c r="NO30" s="806">
        <f t="shared" si="27"/>
        <v>25079</v>
      </c>
      <c r="NP30" s="806">
        <v>70446</v>
      </c>
      <c r="NQ30" s="806">
        <f t="shared" si="27"/>
        <v>4118</v>
      </c>
      <c r="NR30" s="806">
        <v>29434</v>
      </c>
      <c r="NS30" s="806">
        <f t="shared" si="27"/>
        <v>37597</v>
      </c>
      <c r="NT30" s="806">
        <v>43459</v>
      </c>
      <c r="NU30" s="806">
        <f t="shared" si="27"/>
        <v>0</v>
      </c>
      <c r="NV30" s="806">
        <f t="shared" si="27"/>
        <v>0</v>
      </c>
      <c r="NW30" s="806">
        <f t="shared" si="27"/>
        <v>0</v>
      </c>
      <c r="NX30" s="806">
        <f t="shared" si="27"/>
        <v>37923</v>
      </c>
      <c r="NY30" s="806">
        <f t="shared" si="27"/>
        <v>32309</v>
      </c>
      <c r="NZ30" s="806">
        <f>+NZ23-NZ28</f>
        <v>29683</v>
      </c>
      <c r="OA30" s="806">
        <f t="shared" si="27"/>
        <v>27079</v>
      </c>
      <c r="OB30" s="806">
        <v>52436</v>
      </c>
      <c r="OC30" s="806">
        <f>+OC23-OC28</f>
        <v>83301</v>
      </c>
      <c r="OD30" s="807">
        <v>0</v>
      </c>
      <c r="OE30" s="806">
        <f t="shared" si="27"/>
        <v>0</v>
      </c>
      <c r="OF30" s="806">
        <f>+OF23-OF28</f>
        <v>49071</v>
      </c>
      <c r="OG30" s="806">
        <f t="shared" si="27"/>
        <v>42972</v>
      </c>
      <c r="OH30" s="806">
        <v>22966</v>
      </c>
      <c r="OI30" s="806">
        <f t="shared" si="27"/>
        <v>87106</v>
      </c>
      <c r="OJ30" s="806">
        <v>19989</v>
      </c>
      <c r="OK30" s="806">
        <f t="shared" si="27"/>
        <v>50149</v>
      </c>
      <c r="OL30" s="806">
        <f>+OL23-OL28</f>
        <v>77795</v>
      </c>
      <c r="OM30" s="806">
        <f t="shared" si="27"/>
        <v>28224</v>
      </c>
      <c r="ON30" s="806">
        <f>+ON23-ON28</f>
        <v>0</v>
      </c>
      <c r="OO30" s="806">
        <f t="shared" si="27"/>
        <v>57596</v>
      </c>
      <c r="OP30" s="806">
        <v>268715</v>
      </c>
      <c r="OQ30" s="806">
        <f t="shared" si="27"/>
        <v>6660</v>
      </c>
      <c r="OR30" s="806">
        <v>0</v>
      </c>
      <c r="OS30" s="806">
        <f>+OS23-OS28</f>
        <v>0</v>
      </c>
      <c r="OT30" s="806">
        <v>29148</v>
      </c>
      <c r="OU30" s="807">
        <f t="shared" ref="OU30:PE30" si="28">+OU23-OU28</f>
        <v>-21134</v>
      </c>
      <c r="OV30" s="806">
        <f>+OV23-OV28</f>
        <v>0</v>
      </c>
      <c r="OW30" s="806">
        <f t="shared" si="28"/>
        <v>19940</v>
      </c>
      <c r="OX30" s="806">
        <v>291108</v>
      </c>
      <c r="OY30" s="806">
        <f t="shared" si="28"/>
        <v>240609</v>
      </c>
      <c r="OZ30" s="806">
        <v>174146</v>
      </c>
      <c r="PA30" s="806">
        <f t="shared" si="28"/>
        <v>16329</v>
      </c>
      <c r="PB30" s="806">
        <f>+PB23-PB28</f>
        <v>3991</v>
      </c>
      <c r="PC30" s="806">
        <f t="shared" si="28"/>
        <v>14646</v>
      </c>
      <c r="PD30" s="806">
        <f>+PD23-PD28</f>
        <v>0</v>
      </c>
      <c r="PE30" s="806">
        <f t="shared" si="28"/>
        <v>0</v>
      </c>
      <c r="PF30" s="807">
        <v>-236840</v>
      </c>
      <c r="PG30" s="807">
        <f t="shared" ref="PG30:PW30" si="29">+PG23-PG28</f>
        <v>-43999</v>
      </c>
      <c r="PH30" s="806">
        <v>4665</v>
      </c>
      <c r="PI30" s="806">
        <f>+PI23-PI28</f>
        <v>0</v>
      </c>
      <c r="PJ30" s="806">
        <v>93057</v>
      </c>
      <c r="PK30" s="806">
        <f t="shared" si="29"/>
        <v>81325</v>
      </c>
      <c r="PL30" s="807">
        <f>+PL23-PL28</f>
        <v>-5530130</v>
      </c>
      <c r="PM30" s="807">
        <f t="shared" si="29"/>
        <v>-185445</v>
      </c>
      <c r="PN30" s="806">
        <f>+PN23-PN28</f>
        <v>155260</v>
      </c>
      <c r="PO30" s="806">
        <f t="shared" si="29"/>
        <v>189082</v>
      </c>
      <c r="PP30" s="806">
        <f>+PP23-PP28</f>
        <v>5846</v>
      </c>
      <c r="PQ30" s="806">
        <f t="shared" si="29"/>
        <v>164281</v>
      </c>
      <c r="PR30" s="807">
        <v>-70752</v>
      </c>
      <c r="PS30" s="807">
        <f t="shared" si="29"/>
        <v>-357370</v>
      </c>
      <c r="PT30" s="806">
        <f>+PT23-PT28</f>
        <v>5028313</v>
      </c>
      <c r="PU30" s="806">
        <f t="shared" si="29"/>
        <v>5501813</v>
      </c>
      <c r="PV30" s="806">
        <f>+PV23-PV28</f>
        <v>34686</v>
      </c>
      <c r="PW30" s="807">
        <f t="shared" si="29"/>
        <v>-419279</v>
      </c>
      <c r="PX30" s="807">
        <f>+PX23-PX28</f>
        <v>-7111000</v>
      </c>
      <c r="PY30" s="807">
        <f>+PY23-PY28</f>
        <v>-3710000</v>
      </c>
      <c r="PZ30" s="806">
        <v>7966</v>
      </c>
      <c r="QA30" s="806">
        <f t="shared" ref="QA30:QI30" si="30">+QA23-QA28</f>
        <v>19769</v>
      </c>
      <c r="QB30" s="807">
        <v>-91304</v>
      </c>
      <c r="QC30" s="806">
        <f t="shared" si="30"/>
        <v>297111</v>
      </c>
      <c r="QD30" s="806">
        <v>331584</v>
      </c>
      <c r="QE30" s="806">
        <f t="shared" si="30"/>
        <v>186204</v>
      </c>
      <c r="QF30" s="806">
        <f t="shared" si="30"/>
        <v>0</v>
      </c>
      <c r="QG30" s="806">
        <f t="shared" si="30"/>
        <v>0</v>
      </c>
      <c r="QH30" s="807">
        <v>-249116</v>
      </c>
      <c r="QI30" s="807">
        <f t="shared" si="30"/>
        <v>-310192</v>
      </c>
      <c r="QJ30" s="807">
        <v>-998307</v>
      </c>
      <c r="QK30" s="807">
        <f t="shared" ref="QK30:RM30" si="31">+QK23-QK28</f>
        <v>-1630544</v>
      </c>
      <c r="QL30" s="806">
        <v>224955</v>
      </c>
      <c r="QM30" s="806">
        <f t="shared" si="31"/>
        <v>109445</v>
      </c>
      <c r="QN30" s="806">
        <f t="shared" si="31"/>
        <v>125369</v>
      </c>
      <c r="QO30" s="806">
        <f t="shared" si="31"/>
        <v>140039</v>
      </c>
      <c r="QP30" s="806">
        <v>553993</v>
      </c>
      <c r="QQ30" s="806">
        <f t="shared" si="31"/>
        <v>180492</v>
      </c>
      <c r="QR30" s="806">
        <v>840601</v>
      </c>
      <c r="QS30" s="807">
        <f t="shared" si="31"/>
        <v>-224505</v>
      </c>
      <c r="QT30" s="806">
        <v>55000</v>
      </c>
      <c r="QU30" s="806">
        <f t="shared" si="31"/>
        <v>35474</v>
      </c>
      <c r="QV30" s="806">
        <f t="shared" si="31"/>
        <v>2558</v>
      </c>
      <c r="QW30" s="806">
        <f t="shared" si="31"/>
        <v>-53097</v>
      </c>
      <c r="QX30" s="806">
        <f>+QX23-QX28</f>
        <v>116722</v>
      </c>
      <c r="QY30" s="806">
        <f t="shared" si="31"/>
        <v>21503</v>
      </c>
      <c r="QZ30" s="806">
        <f t="shared" si="31"/>
        <v>49036</v>
      </c>
      <c r="RA30" s="806">
        <f t="shared" si="31"/>
        <v>49036</v>
      </c>
      <c r="RB30" s="806">
        <v>17408</v>
      </c>
      <c r="RC30" s="806">
        <f t="shared" si="31"/>
        <v>27897</v>
      </c>
      <c r="RD30" s="806">
        <f t="shared" si="31"/>
        <v>11673</v>
      </c>
      <c r="RE30" s="807">
        <f t="shared" si="31"/>
        <v>-121069</v>
      </c>
      <c r="RF30" s="806">
        <v>4245</v>
      </c>
      <c r="RG30" s="806">
        <f t="shared" si="31"/>
        <v>0</v>
      </c>
      <c r="RH30" s="806">
        <f t="shared" si="31"/>
        <v>167517</v>
      </c>
      <c r="RI30" s="806">
        <f t="shared" si="31"/>
        <v>105351</v>
      </c>
      <c r="RJ30" s="807">
        <f t="shared" si="31"/>
        <v>-19909095</v>
      </c>
      <c r="RK30" s="806">
        <f t="shared" si="31"/>
        <v>3297095</v>
      </c>
      <c r="RL30" s="806">
        <v>65682</v>
      </c>
      <c r="RM30" s="806">
        <f t="shared" si="31"/>
        <v>33526</v>
      </c>
      <c r="RN30" s="804">
        <v>-58507</v>
      </c>
      <c r="RO30" s="804">
        <v>23913</v>
      </c>
      <c r="RP30" s="804">
        <v>-402357</v>
      </c>
      <c r="RQ30" s="804">
        <v>221448</v>
      </c>
      <c r="RR30" s="804">
        <v>-114344</v>
      </c>
      <c r="RS30" s="804">
        <v>62767</v>
      </c>
      <c r="RT30" s="804">
        <v>25078</v>
      </c>
      <c r="RU30" s="804">
        <v>10573</v>
      </c>
      <c r="RV30" s="804">
        <v>4118</v>
      </c>
      <c r="RW30" s="804">
        <v>4129</v>
      </c>
      <c r="RX30" s="804">
        <v>32940</v>
      </c>
      <c r="RY30" s="804">
        <v>16342</v>
      </c>
      <c r="RZ30" s="804">
        <v>0</v>
      </c>
      <c r="SA30" s="804">
        <v>0</v>
      </c>
      <c r="SB30" s="804">
        <v>0</v>
      </c>
      <c r="SC30" s="804">
        <v>0</v>
      </c>
      <c r="SD30" s="804">
        <v>32309</v>
      </c>
      <c r="SE30" s="804">
        <v>64554</v>
      </c>
      <c r="SF30" s="804">
        <v>19036</v>
      </c>
      <c r="SG30" s="804">
        <v>76622</v>
      </c>
      <c r="SH30" s="804">
        <v>83301</v>
      </c>
      <c r="SI30" s="804">
        <v>75415</v>
      </c>
      <c r="SJ30" s="804">
        <v>0</v>
      </c>
      <c r="SK30" s="804">
        <v>0</v>
      </c>
      <c r="SL30" s="804">
        <v>42972</v>
      </c>
      <c r="SM30" s="804">
        <v>70528</v>
      </c>
      <c r="SN30" s="804">
        <v>87106</v>
      </c>
      <c r="SO30" s="804">
        <v>182</v>
      </c>
      <c r="SP30" s="804">
        <v>50149</v>
      </c>
      <c r="SQ30" s="804">
        <v>44031</v>
      </c>
      <c r="SR30" s="804">
        <v>167778</v>
      </c>
      <c r="SS30" s="804">
        <v>156566</v>
      </c>
      <c r="ST30" s="804">
        <v>57596</v>
      </c>
      <c r="SU30" s="804"/>
      <c r="SV30" s="804">
        <v>19006</v>
      </c>
      <c r="SW30" s="804">
        <v>36660</v>
      </c>
      <c r="SX30" s="804">
        <v>0</v>
      </c>
      <c r="SY30" s="804">
        <v>44605</v>
      </c>
      <c r="SZ30" s="804">
        <v>-21134</v>
      </c>
      <c r="TA30" s="804">
        <v>76768</v>
      </c>
      <c r="TB30" s="804">
        <v>19940</v>
      </c>
      <c r="TC30" s="804">
        <v>0</v>
      </c>
      <c r="TD30" s="804">
        <v>-203528</v>
      </c>
      <c r="TE30" s="804">
        <v>698628</v>
      </c>
      <c r="TF30" s="804">
        <v>24742</v>
      </c>
      <c r="TG30" s="804">
        <v>-64380</v>
      </c>
      <c r="TH30" s="804">
        <v>5006</v>
      </c>
      <c r="TI30" s="804">
        <v>-15724</v>
      </c>
      <c r="TJ30" s="804">
        <v>0</v>
      </c>
      <c r="TK30" s="804">
        <v>0</v>
      </c>
      <c r="TL30" s="804">
        <v>168576</v>
      </c>
      <c r="TM30" s="804">
        <v>-347469</v>
      </c>
      <c r="TN30" s="804">
        <v>0</v>
      </c>
      <c r="TO30" s="804">
        <v>61727</v>
      </c>
      <c r="TP30" s="804">
        <v>-202826</v>
      </c>
      <c r="TQ30" s="804">
        <v>-46215</v>
      </c>
      <c r="TR30" s="804">
        <v>-185445</v>
      </c>
      <c r="TS30" s="804">
        <v>-4284078</v>
      </c>
      <c r="TT30" s="804">
        <v>189082</v>
      </c>
      <c r="TU30" s="804">
        <v>150817</v>
      </c>
      <c r="TV30" s="804">
        <v>218046000</v>
      </c>
      <c r="TW30" s="804">
        <v>-286393000</v>
      </c>
      <c r="TX30" s="804">
        <v>-357370</v>
      </c>
      <c r="TY30" s="804">
        <v>78298</v>
      </c>
      <c r="TZ30" s="804">
        <v>5501813</v>
      </c>
      <c r="UA30" s="804">
        <v>4007281</v>
      </c>
      <c r="UB30" s="804">
        <v>-419279</v>
      </c>
      <c r="UC30" s="804">
        <v>0</v>
      </c>
      <c r="UD30" s="804">
        <v>-3710000</v>
      </c>
      <c r="UE30" s="804">
        <v>7551000</v>
      </c>
      <c r="UF30" s="804">
        <v>19769</v>
      </c>
      <c r="UG30" s="804">
        <v>117178</v>
      </c>
      <c r="UH30" s="804">
        <v>274124</v>
      </c>
      <c r="UI30" s="804">
        <v>-121610</v>
      </c>
      <c r="UJ30" s="804">
        <v>-408425</v>
      </c>
      <c r="UK30" s="804">
        <v>779172</v>
      </c>
      <c r="UL30" s="804">
        <v>0</v>
      </c>
      <c r="UM30" s="804">
        <v>0</v>
      </c>
      <c r="UN30" s="804">
        <v>-310192</v>
      </c>
      <c r="UO30" s="804">
        <v>-331008</v>
      </c>
      <c r="UP30" s="804">
        <v>-1571116</v>
      </c>
      <c r="UQ30" s="804">
        <v>-150348</v>
      </c>
      <c r="UR30" s="804">
        <v>109445</v>
      </c>
      <c r="US30" s="804">
        <v>959370</v>
      </c>
      <c r="UT30" s="804">
        <v>140039</v>
      </c>
      <c r="UU30" s="804">
        <v>0</v>
      </c>
      <c r="UV30" s="804">
        <v>180492</v>
      </c>
      <c r="UW30" s="804">
        <v>1020646</v>
      </c>
      <c r="UX30" s="804">
        <v>-905374</v>
      </c>
      <c r="UY30" s="804">
        <v>-732706</v>
      </c>
      <c r="UZ30" s="804">
        <v>35474</v>
      </c>
      <c r="VA30" s="804">
        <v>34800</v>
      </c>
      <c r="VB30" s="804">
        <v>-3282451</v>
      </c>
      <c r="VC30" s="804">
        <v>-3367402</v>
      </c>
      <c r="VD30" s="804">
        <v>296342</v>
      </c>
      <c r="VE30" s="804">
        <v>83951</v>
      </c>
      <c r="VF30" s="804">
        <v>49036</v>
      </c>
      <c r="VG30" s="804">
        <v>0</v>
      </c>
      <c r="VH30" s="804">
        <v>27897</v>
      </c>
      <c r="VI30" s="804">
        <v>18300</v>
      </c>
      <c r="VJ30" s="804">
        <v>6733</v>
      </c>
      <c r="VK30" s="804">
        <v>618</v>
      </c>
      <c r="VL30" s="804">
        <v>0</v>
      </c>
      <c r="VM30" s="804">
        <v>92891</v>
      </c>
      <c r="VN30" s="804">
        <v>105351</v>
      </c>
      <c r="VO30" s="804">
        <v>0</v>
      </c>
      <c r="VP30" s="804">
        <v>3297095</v>
      </c>
      <c r="VQ30" s="804">
        <v>1840555</v>
      </c>
      <c r="VR30" s="804">
        <v>33526</v>
      </c>
      <c r="VS30" s="804">
        <v>48430</v>
      </c>
      <c r="VT30" s="804">
        <v>23913</v>
      </c>
      <c r="VU30" s="804">
        <v>23672</v>
      </c>
      <c r="VV30" s="804">
        <v>-140479</v>
      </c>
      <c r="VW30" s="804">
        <v>-133388</v>
      </c>
      <c r="VX30" s="804">
        <v>62767</v>
      </c>
      <c r="VY30" s="804">
        <v>11889</v>
      </c>
      <c r="VZ30" s="804">
        <v>10573</v>
      </c>
      <c r="WA30" s="804">
        <v>61086</v>
      </c>
      <c r="WB30" s="804">
        <v>4129</v>
      </c>
      <c r="WC30" s="804">
        <v>38729</v>
      </c>
      <c r="WD30" s="804">
        <v>16342</v>
      </c>
      <c r="WE30" s="804">
        <v>58984</v>
      </c>
      <c r="WF30" s="804">
        <v>0</v>
      </c>
      <c r="WG30" s="804">
        <v>0</v>
      </c>
      <c r="WH30" s="804">
        <v>0</v>
      </c>
      <c r="WI30" s="804">
        <v>0</v>
      </c>
      <c r="WJ30" s="804">
        <v>64554</v>
      </c>
      <c r="WK30" s="804">
        <v>70238</v>
      </c>
      <c r="WL30" s="804">
        <v>52179</v>
      </c>
      <c r="WM30" s="804">
        <v>20995</v>
      </c>
      <c r="WN30" s="804">
        <v>75415</v>
      </c>
      <c r="WO30" s="804">
        <v>107676</v>
      </c>
      <c r="WP30" s="804">
        <v>0</v>
      </c>
      <c r="WQ30" s="804">
        <v>0</v>
      </c>
      <c r="WR30" s="804">
        <v>71028</v>
      </c>
      <c r="WS30" s="804">
        <v>153924</v>
      </c>
      <c r="WT30" s="804">
        <v>182</v>
      </c>
      <c r="WU30" s="804">
        <v>-288584</v>
      </c>
      <c r="WV30" s="804">
        <v>44031</v>
      </c>
      <c r="WW30" s="804">
        <v>30593</v>
      </c>
      <c r="WX30" s="804">
        <v>156566</v>
      </c>
      <c r="WY30" s="804">
        <v>-34266</v>
      </c>
      <c r="WZ30" s="804">
        <v>0</v>
      </c>
      <c r="XA30" s="804">
        <v>10175</v>
      </c>
      <c r="XB30" s="804">
        <v>36660</v>
      </c>
      <c r="XC30" s="804">
        <v>75358</v>
      </c>
      <c r="XD30" s="804">
        <v>33454</v>
      </c>
      <c r="XE30" s="804">
        <v>39913</v>
      </c>
      <c r="XF30" s="804">
        <v>76768</v>
      </c>
      <c r="XG30" s="804">
        <v>65414</v>
      </c>
      <c r="XH30" s="804">
        <v>16236</v>
      </c>
      <c r="XI30" s="804">
        <v>-548902</v>
      </c>
      <c r="XJ30" s="804">
        <v>698628</v>
      </c>
      <c r="XK30" s="804">
        <v>1411113</v>
      </c>
      <c r="XL30" s="804">
        <v>-64380</v>
      </c>
      <c r="XM30" s="804">
        <v>-5647</v>
      </c>
      <c r="XN30" s="804">
        <v>-219990</v>
      </c>
      <c r="XO30" s="804">
        <v>0</v>
      </c>
      <c r="XP30" s="804">
        <v>0</v>
      </c>
      <c r="XQ30" s="804">
        <v>0</v>
      </c>
      <c r="XR30" s="804">
        <v>-347469</v>
      </c>
      <c r="XS30" s="804">
        <v>154982</v>
      </c>
      <c r="XT30" s="804">
        <v>61727</v>
      </c>
      <c r="XU30" s="804">
        <v>33435</v>
      </c>
      <c r="XV30" s="804">
        <v>277012</v>
      </c>
      <c r="XW30" s="804">
        <v>117323</v>
      </c>
      <c r="XX30" s="804">
        <v>-4284078</v>
      </c>
      <c r="XY30" s="804">
        <v>-10879817</v>
      </c>
      <c r="XZ30" s="804">
        <v>150816</v>
      </c>
      <c r="YA30" s="804">
        <v>132986</v>
      </c>
      <c r="YB30" s="804">
        <v>-286393</v>
      </c>
      <c r="YC30" s="804">
        <v>213965</v>
      </c>
      <c r="YD30" s="804">
        <v>-129332</v>
      </c>
      <c r="YE30" s="804">
        <v>128794</v>
      </c>
      <c r="YF30" s="804">
        <v>4007281</v>
      </c>
      <c r="YG30" s="804">
        <v>3481283</v>
      </c>
      <c r="YH30" s="804">
        <v>0</v>
      </c>
      <c r="YI30" s="804">
        <v>0</v>
      </c>
      <c r="YJ30" s="804">
        <v>7551000</v>
      </c>
      <c r="YK30" s="804">
        <v>0</v>
      </c>
      <c r="YL30" s="804">
        <v>189532254</v>
      </c>
      <c r="YM30" s="804">
        <v>64213974</v>
      </c>
      <c r="YN30" s="804">
        <v>-121610</v>
      </c>
      <c r="YO30" s="804">
        <v>73836</v>
      </c>
      <c r="YP30" s="804">
        <v>779172</v>
      </c>
      <c r="YQ30" s="804">
        <v>3093034</v>
      </c>
      <c r="YR30" s="804">
        <v>0</v>
      </c>
      <c r="YS30" s="804">
        <v>0</v>
      </c>
      <c r="YT30" s="804">
        <v>-331008</v>
      </c>
      <c r="YU30" s="804">
        <v>133481</v>
      </c>
      <c r="YV30" s="804">
        <v>-150348</v>
      </c>
      <c r="YW30" s="804">
        <v>-764234</v>
      </c>
      <c r="YX30" s="804">
        <v>959370</v>
      </c>
      <c r="YY30" s="804">
        <v>1231202</v>
      </c>
      <c r="YZ30" s="804">
        <v>80539</v>
      </c>
      <c r="ZA30" s="804">
        <v>55054</v>
      </c>
      <c r="ZB30" s="804">
        <v>1020646</v>
      </c>
      <c r="ZC30" s="804">
        <v>58046</v>
      </c>
      <c r="ZD30" s="804">
        <v>-732706</v>
      </c>
      <c r="ZE30" s="804">
        <v>-505494</v>
      </c>
      <c r="ZF30" s="804">
        <v>34800</v>
      </c>
      <c r="ZG30" s="804">
        <v>34800</v>
      </c>
      <c r="ZH30" s="804">
        <v>-3367402</v>
      </c>
      <c r="ZI30" s="804">
        <v>-2177611</v>
      </c>
      <c r="ZJ30" s="804">
        <v>83951</v>
      </c>
      <c r="ZK30" s="804">
        <v>110202</v>
      </c>
      <c r="ZL30" s="804">
        <v>0</v>
      </c>
      <c r="ZM30" s="804">
        <v>0</v>
      </c>
      <c r="ZN30" s="804">
        <v>18300</v>
      </c>
      <c r="ZO30" s="804">
        <v>15412</v>
      </c>
      <c r="ZP30" s="804">
        <v>618</v>
      </c>
      <c r="ZQ30" s="804">
        <v>0</v>
      </c>
      <c r="ZR30" s="804">
        <v>92891</v>
      </c>
      <c r="ZS30" s="804">
        <v>46148</v>
      </c>
      <c r="ZT30" s="804">
        <v>0</v>
      </c>
      <c r="ZU30" s="804">
        <v>0</v>
      </c>
      <c r="ZV30" s="804">
        <v>1840555</v>
      </c>
      <c r="ZW30" s="804">
        <v>-7951861</v>
      </c>
      <c r="ZX30" s="804">
        <v>48430</v>
      </c>
      <c r="ZY30" s="804">
        <v>3926</v>
      </c>
      <c r="ZZ30" s="610">
        <v>-235853</v>
      </c>
      <c r="AAA30" s="610">
        <v>-443572</v>
      </c>
      <c r="AAB30" s="808">
        <v>151640</v>
      </c>
      <c r="AAC30" s="808">
        <v>70953</v>
      </c>
      <c r="AAD30" s="808">
        <v>32731</v>
      </c>
      <c r="AAE30" s="808">
        <v>61085</v>
      </c>
      <c r="AAF30" s="808">
        <v>14452</v>
      </c>
      <c r="AAG30" s="610">
        <v>-846267</v>
      </c>
      <c r="AAH30" s="808">
        <v>140896</v>
      </c>
      <c r="AAI30" s="808">
        <v>5221</v>
      </c>
      <c r="AAJ30" s="808">
        <v>42032</v>
      </c>
      <c r="AAK30" s="610">
        <v>-140013</v>
      </c>
      <c r="AAL30" s="808">
        <v>34822</v>
      </c>
      <c r="AAM30" s="808">
        <v>6764</v>
      </c>
      <c r="AAN30" s="808">
        <v>33900</v>
      </c>
      <c r="AAO30" s="610">
        <v>-974627</v>
      </c>
      <c r="AAP30" s="808">
        <v>61291</v>
      </c>
      <c r="AAQ30" s="808">
        <v>67518</v>
      </c>
      <c r="AAR30" s="808">
        <v>204775</v>
      </c>
      <c r="AAS30" s="808">
        <v>100874</v>
      </c>
      <c r="AAT30" s="809"/>
      <c r="AAU30" s="810">
        <v>74709</v>
      </c>
      <c r="AAV30" s="613">
        <v>-652</v>
      </c>
      <c r="AAW30" s="613">
        <v>-1850</v>
      </c>
      <c r="AAX30" s="808">
        <v>157734</v>
      </c>
      <c r="AAY30" s="808">
        <v>68360</v>
      </c>
      <c r="AAZ30" s="808">
        <v>35851</v>
      </c>
      <c r="ABA30" s="610">
        <v>-119962</v>
      </c>
      <c r="ABB30" s="609">
        <v>-52003</v>
      </c>
      <c r="ABC30" s="808">
        <v>12690</v>
      </c>
      <c r="ABD30" s="808">
        <v>222007</v>
      </c>
      <c r="ABE30" s="811">
        <v>1859209</v>
      </c>
      <c r="ABF30" s="610">
        <v>-3112</v>
      </c>
      <c r="ABG30" s="610">
        <v>-163797</v>
      </c>
      <c r="ABH30" s="809">
        <v>402365</v>
      </c>
      <c r="ABI30" s="808">
        <v>23992</v>
      </c>
      <c r="ABJ30" s="808">
        <v>1849929</v>
      </c>
      <c r="ABK30" s="610">
        <v>-3220624</v>
      </c>
      <c r="ABL30" s="808">
        <v>25253</v>
      </c>
      <c r="ABM30" s="610">
        <v>-107340</v>
      </c>
      <c r="ABN30" s="808">
        <v>16376</v>
      </c>
      <c r="ABO30" s="808">
        <v>66752</v>
      </c>
      <c r="ABP30" s="610">
        <v>-32174</v>
      </c>
      <c r="ABQ30" s="808">
        <v>58175</v>
      </c>
      <c r="ABR30" s="808">
        <v>2220329</v>
      </c>
      <c r="ABS30" s="808">
        <v>214201</v>
      </c>
      <c r="ABT30" s="808">
        <v>96379</v>
      </c>
      <c r="ABU30" s="808">
        <v>90729</v>
      </c>
      <c r="ABV30" s="610">
        <v>-299000</v>
      </c>
      <c r="ABW30" s="610">
        <v>-8480000</v>
      </c>
      <c r="ABX30" s="808">
        <v>210597</v>
      </c>
      <c r="ABY30" s="808">
        <v>600633</v>
      </c>
      <c r="ABZ30" s="808">
        <v>570937</v>
      </c>
      <c r="ACA30" s="808">
        <v>317881</v>
      </c>
      <c r="ACB30" s="808">
        <v>17979</v>
      </c>
      <c r="ACC30" s="610">
        <v>-673718</v>
      </c>
      <c r="ACD30" s="808">
        <v>210929</v>
      </c>
      <c r="ACE30" s="808">
        <v>150039</v>
      </c>
      <c r="ACF30" s="610">
        <v>-351061</v>
      </c>
      <c r="ACG30" s="610">
        <v>-617706</v>
      </c>
      <c r="ACH30" s="808">
        <v>3566905</v>
      </c>
      <c r="ACI30" s="808">
        <v>158922</v>
      </c>
      <c r="ACJ30" s="808">
        <v>6981</v>
      </c>
      <c r="ACK30" s="808">
        <v>18000</v>
      </c>
      <c r="ACL30" s="808">
        <v>2541688</v>
      </c>
      <c r="ACM30" s="610">
        <v>-2148996</v>
      </c>
      <c r="ACN30" s="808">
        <v>35000</v>
      </c>
      <c r="ACO30" s="808">
        <v>32114</v>
      </c>
      <c r="ACP30" s="610">
        <v>-2340281</v>
      </c>
      <c r="ACQ30" s="610">
        <v>-2074842</v>
      </c>
      <c r="ACR30" s="742">
        <v>9615</v>
      </c>
      <c r="ACS30" s="610">
        <v>-56958</v>
      </c>
      <c r="ACT30" s="808">
        <v>14988</v>
      </c>
      <c r="ACU30" s="808">
        <v>1578</v>
      </c>
      <c r="ACV30" s="808">
        <v>0</v>
      </c>
      <c r="ACW30" s="808">
        <v>-1585</v>
      </c>
      <c r="ACX30" s="610">
        <v>-19386834</v>
      </c>
      <c r="ACY30" s="610">
        <v>-21128141</v>
      </c>
      <c r="ACZ30" s="605"/>
      <c r="ADA30" s="605"/>
      <c r="ADB30" s="605"/>
      <c r="ADC30" s="605"/>
      <c r="ADD30" s="605"/>
      <c r="ADE30" s="605"/>
      <c r="ADF30" s="605"/>
      <c r="ADG30" s="605"/>
      <c r="ADH30" s="605"/>
      <c r="ADI30" s="605"/>
      <c r="ADJ30" s="605"/>
      <c r="ADK30" s="605"/>
      <c r="ADL30" s="605"/>
      <c r="ADM30" s="605"/>
      <c r="ADN30" s="605"/>
      <c r="ADO30" s="605"/>
      <c r="ADP30" s="605"/>
      <c r="ADQ30" s="605"/>
      <c r="ADR30" s="605"/>
      <c r="ADS30" s="605"/>
      <c r="ADT30" s="605"/>
      <c r="ADU30" s="605"/>
      <c r="ADV30" s="605"/>
      <c r="ADW30" s="605"/>
      <c r="ADX30" s="605"/>
      <c r="ADY30" s="605"/>
      <c r="ADZ30" s="605"/>
      <c r="AEA30" s="605"/>
      <c r="AEB30" s="605"/>
      <c r="AEC30" s="605"/>
      <c r="AED30" s="605"/>
      <c r="AEE30" s="605"/>
      <c r="AEF30" s="605"/>
      <c r="AEG30" s="605"/>
      <c r="AEH30" s="605"/>
      <c r="AEI30" s="605"/>
      <c r="AEJ30" s="605"/>
      <c r="AEK30" s="605"/>
      <c r="AEL30" s="605"/>
      <c r="AEM30" s="605"/>
      <c r="AEN30" s="605"/>
      <c r="AEO30" s="605"/>
      <c r="AEP30" s="605"/>
      <c r="AEQ30" s="605"/>
      <c r="AER30" s="605"/>
      <c r="AES30" s="605"/>
      <c r="AET30" s="605"/>
      <c r="AEU30" s="605"/>
      <c r="AEV30" s="605"/>
      <c r="AEW30" s="605"/>
      <c r="AEX30" s="605"/>
      <c r="AEY30" s="605"/>
      <c r="AEZ30" s="605"/>
      <c r="AFA30" s="605"/>
      <c r="AFB30" s="605"/>
      <c r="AFC30" s="605"/>
      <c r="AFD30" s="605"/>
      <c r="AFE30" s="605"/>
      <c r="AFF30" s="605"/>
      <c r="AFG30" s="605"/>
      <c r="AFH30" s="605"/>
      <c r="AFI30" s="605"/>
      <c r="AFJ30" s="605"/>
      <c r="AFK30" s="605"/>
      <c r="AFL30" s="605"/>
      <c r="AFM30" s="605"/>
      <c r="AFN30" s="605"/>
      <c r="AFO30" s="605"/>
      <c r="AFP30" s="605"/>
      <c r="AFQ30" s="605"/>
      <c r="AFR30" s="605"/>
      <c r="AFS30" s="605"/>
      <c r="AFT30" s="605"/>
      <c r="AFU30" s="605"/>
      <c r="AFV30" s="605"/>
      <c r="AFW30" s="605"/>
      <c r="AFX30" s="605"/>
      <c r="AFY30" s="605"/>
      <c r="AFZ30" s="643">
        <v>124741950</v>
      </c>
      <c r="AGA30" s="643">
        <v>240556470</v>
      </c>
      <c r="AGB30" s="643">
        <v>2766517814</v>
      </c>
      <c r="AGC30" s="643">
        <v>-1611934804</v>
      </c>
      <c r="AGD30" s="643">
        <v>1569355121</v>
      </c>
      <c r="AGE30" s="643">
        <v>1203888978</v>
      </c>
      <c r="AGF30" s="643">
        <v>87735614</v>
      </c>
      <c r="AGG30" s="643">
        <v>51540733</v>
      </c>
      <c r="AGH30" s="643">
        <v>16557361</v>
      </c>
      <c r="AGI30" s="643">
        <v>24761218</v>
      </c>
      <c r="AGJ30" s="643">
        <v>619665</v>
      </c>
      <c r="AGK30" s="643">
        <v>2233180</v>
      </c>
      <c r="AGL30" s="643">
        <v>923179487</v>
      </c>
      <c r="AGM30" s="643">
        <v>64186826</v>
      </c>
      <c r="AGN30" s="643">
        <v>14211859937</v>
      </c>
      <c r="AGO30" s="643">
        <v>13415531726</v>
      </c>
      <c r="AGP30" s="643">
        <v>87735614</v>
      </c>
      <c r="AGQ30" s="643">
        <v>51540733</v>
      </c>
      <c r="AGR30" s="643">
        <v>431795987</v>
      </c>
      <c r="AGS30" s="643">
        <v>148879721</v>
      </c>
      <c r="AGT30" s="643">
        <v>24447000</v>
      </c>
      <c r="AGU30" s="643">
        <v>53061000</v>
      </c>
      <c r="AGV30" s="643">
        <v>-167480496</v>
      </c>
      <c r="AGW30" s="643">
        <v>950580916</v>
      </c>
      <c r="AGX30" s="736" t="s">
        <v>224</v>
      </c>
      <c r="AGY30" s="736" t="s">
        <v>224</v>
      </c>
      <c r="AGZ30" s="643">
        <v>1458691871</v>
      </c>
      <c r="AHA30" s="643">
        <v>482960549</v>
      </c>
      <c r="AHB30" s="643">
        <v>21272739</v>
      </c>
      <c r="AHC30" s="643">
        <v>4157627</v>
      </c>
      <c r="AHD30" s="643">
        <v>280186531</v>
      </c>
      <c r="AHE30" s="643">
        <v>490528530</v>
      </c>
      <c r="AHF30" s="643">
        <v>6179874000</v>
      </c>
      <c r="AHG30" s="643">
        <v>-1161146000</v>
      </c>
      <c r="AHH30" s="643">
        <v>865902634</v>
      </c>
      <c r="AHI30" s="643">
        <v>454696429</v>
      </c>
      <c r="AHJ30" s="643">
        <v>42760000</v>
      </c>
      <c r="AHK30" s="643">
        <v>52249000</v>
      </c>
      <c r="AHL30" s="643">
        <v>367043000</v>
      </c>
      <c r="AHM30" s="643">
        <v>-1170143000</v>
      </c>
      <c r="AHN30" s="643">
        <v>397447078</v>
      </c>
      <c r="AHO30" s="643">
        <v>-3412751719</v>
      </c>
      <c r="AHP30" s="643">
        <v>7233000</v>
      </c>
      <c r="AHQ30" s="643">
        <v>-985297650</v>
      </c>
      <c r="AHR30" s="643">
        <v>179569000</v>
      </c>
      <c r="AHS30" s="643">
        <v>181098532</v>
      </c>
      <c r="AHT30" s="643">
        <v>14595326</v>
      </c>
      <c r="AHU30" s="643">
        <v>135983206</v>
      </c>
      <c r="AHV30" s="643">
        <v>41052000</v>
      </c>
      <c r="AHW30" s="643">
        <v>39910000</v>
      </c>
      <c r="AHX30" s="643">
        <v>120755659</v>
      </c>
      <c r="AHY30" s="643">
        <v>186714038</v>
      </c>
      <c r="AHZ30" s="643">
        <v>111287150</v>
      </c>
      <c r="AIA30" s="643">
        <v>777560616</v>
      </c>
      <c r="AIB30" s="643">
        <v>-642040955</v>
      </c>
      <c r="AIC30" s="643">
        <v>-523299110</v>
      </c>
      <c r="AID30" s="643">
        <v>-4521000000</v>
      </c>
      <c r="AIE30" s="643">
        <v>3695000000</v>
      </c>
      <c r="AIF30" s="643">
        <v>423122000</v>
      </c>
      <c r="AIG30" s="643">
        <v>-21180000</v>
      </c>
      <c r="AIH30" s="798"/>
      <c r="AII30" s="643">
        <v>34452297</v>
      </c>
      <c r="AIJ30" s="643">
        <v>16008119018</v>
      </c>
      <c r="AIK30" s="643">
        <v>-808731293689</v>
      </c>
      <c r="AIL30" s="643">
        <v>374406026</v>
      </c>
      <c r="AIM30" s="643">
        <v>559571220</v>
      </c>
      <c r="AIN30" s="736" t="s">
        <v>224</v>
      </c>
      <c r="AIO30" s="643">
        <v>50867</v>
      </c>
      <c r="AIP30" s="736" t="s">
        <v>224</v>
      </c>
      <c r="AIQ30" s="643">
        <v>10899984</v>
      </c>
      <c r="AIR30" s="643">
        <v>-7774820000</v>
      </c>
      <c r="AIS30" s="643">
        <v>3396171000</v>
      </c>
      <c r="AIT30" s="643">
        <v>27652926</v>
      </c>
      <c r="AIU30" s="643">
        <v>10978332</v>
      </c>
      <c r="AIV30" s="643">
        <v>80554667</v>
      </c>
      <c r="AIW30" s="643">
        <v>101856477</v>
      </c>
      <c r="AIX30" s="643">
        <v>42487</v>
      </c>
      <c r="AIY30" s="643">
        <v>-27317</v>
      </c>
      <c r="AIZ30" s="643">
        <v>262808941</v>
      </c>
      <c r="AJA30" s="643">
        <v>369511263</v>
      </c>
      <c r="AJB30" s="643">
        <v>-2167622000</v>
      </c>
      <c r="AJC30" s="643">
        <v>7377002000</v>
      </c>
      <c r="AJD30" s="643">
        <v>1655000</v>
      </c>
      <c r="AJE30" s="643">
        <v>2055000</v>
      </c>
      <c r="AJF30" s="643">
        <v>-4521000000</v>
      </c>
      <c r="AJG30" s="643">
        <v>3695000000</v>
      </c>
      <c r="AJH30" s="643">
        <v>114136816</v>
      </c>
      <c r="AJI30" s="643">
        <v>275910347</v>
      </c>
      <c r="AJJ30" s="643">
        <v>-4329251182</v>
      </c>
      <c r="AJK30" s="643">
        <v>3518286202</v>
      </c>
      <c r="AJL30" s="643">
        <v>37719219</v>
      </c>
      <c r="AJM30" s="643">
        <v>3261784</v>
      </c>
      <c r="AJN30" s="643">
        <v>4462954</v>
      </c>
      <c r="AJO30" s="643">
        <v>270219950</v>
      </c>
    </row>
  </sheetData>
  <mergeCells count="431">
    <mergeCell ref="AFZ1:AGA1"/>
    <mergeCell ref="AGB1:AGC1"/>
    <mergeCell ref="AGD1:AGE1"/>
    <mergeCell ref="AIZ1:AJA1"/>
    <mergeCell ref="AJB1:AJC1"/>
    <mergeCell ref="AJD1:AJE1"/>
    <mergeCell ref="AJF1:AJG1"/>
    <mergeCell ref="AJH1:AJI1"/>
    <mergeCell ref="AJJ1:AJK1"/>
    <mergeCell ref="AJL1:AJM1"/>
    <mergeCell ref="AJN1:AJO1"/>
    <mergeCell ref="AIH1:AII1"/>
    <mergeCell ref="AIJ1:AIK1"/>
    <mergeCell ref="AIL1:AIM1"/>
    <mergeCell ref="AIN1:AIO1"/>
    <mergeCell ref="AIP1:AIQ1"/>
    <mergeCell ref="AIR1:AIS1"/>
    <mergeCell ref="AIT1:AIU1"/>
    <mergeCell ref="AIV1:AIW1"/>
    <mergeCell ref="AIX1:AIY1"/>
    <mergeCell ref="AHP1:AHQ1"/>
    <mergeCell ref="AHR1:AHS1"/>
    <mergeCell ref="AHT1:AHU1"/>
    <mergeCell ref="AHV1:AHW1"/>
    <mergeCell ref="AHX1:AHY1"/>
    <mergeCell ref="AHZ1:AIA1"/>
    <mergeCell ref="AIB1:AIC1"/>
    <mergeCell ref="AID1:AIE1"/>
    <mergeCell ref="AIF1:AIG1"/>
    <mergeCell ref="AGX1:AGY1"/>
    <mergeCell ref="AGZ1:AHA1"/>
    <mergeCell ref="AHB1:AHC1"/>
    <mergeCell ref="AHD1:AHE1"/>
    <mergeCell ref="AHF1:AHG1"/>
    <mergeCell ref="AHH1:AHI1"/>
    <mergeCell ref="AHJ1:AHK1"/>
    <mergeCell ref="AHL1:AHM1"/>
    <mergeCell ref="AHN1:AHO1"/>
    <mergeCell ref="AGF1:AGG1"/>
    <mergeCell ref="AGH1:AGI1"/>
    <mergeCell ref="AGJ1:AGK1"/>
    <mergeCell ref="AGL1:AGM1"/>
    <mergeCell ref="AGN1:AGO1"/>
    <mergeCell ref="AGP1:AGQ1"/>
    <mergeCell ref="AGR1:AGS1"/>
    <mergeCell ref="AGT1:AGU1"/>
    <mergeCell ref="AGV1:AGW1"/>
    <mergeCell ref="AFN1:AFO1"/>
    <mergeCell ref="AFP1:AFQ1"/>
    <mergeCell ref="AFR1:AFS1"/>
    <mergeCell ref="AFT1:AFU1"/>
    <mergeCell ref="AFV1:AFW1"/>
    <mergeCell ref="AFX1:AFY1"/>
    <mergeCell ref="AEV1:AEW1"/>
    <mergeCell ref="AEX1:AEY1"/>
    <mergeCell ref="AEZ1:AFA1"/>
    <mergeCell ref="AFB1:AFC1"/>
    <mergeCell ref="AFD1:AFE1"/>
    <mergeCell ref="AFF1:AFG1"/>
    <mergeCell ref="AFH1:AFI1"/>
    <mergeCell ref="AFJ1:AFK1"/>
    <mergeCell ref="AFL1:AFM1"/>
    <mergeCell ref="AED1:AEE1"/>
    <mergeCell ref="AEF1:AEG1"/>
    <mergeCell ref="AEH1:AEI1"/>
    <mergeCell ref="AEJ1:AEK1"/>
    <mergeCell ref="AEL1:AEM1"/>
    <mergeCell ref="AEN1:AEO1"/>
    <mergeCell ref="AEP1:AEQ1"/>
    <mergeCell ref="AER1:AES1"/>
    <mergeCell ref="AET1:AEU1"/>
    <mergeCell ref="ADL1:ADM1"/>
    <mergeCell ref="ADN1:ADO1"/>
    <mergeCell ref="ADP1:ADQ1"/>
    <mergeCell ref="ADR1:ADS1"/>
    <mergeCell ref="ADT1:ADU1"/>
    <mergeCell ref="ADV1:ADW1"/>
    <mergeCell ref="ADX1:ADY1"/>
    <mergeCell ref="ADZ1:AEA1"/>
    <mergeCell ref="AEB1:AEC1"/>
    <mergeCell ref="ACT1:ACU1"/>
    <mergeCell ref="ACV1:ACW1"/>
    <mergeCell ref="ACX1:ACY1"/>
    <mergeCell ref="ACZ1:ADA1"/>
    <mergeCell ref="ADB1:ADC1"/>
    <mergeCell ref="ADD1:ADE1"/>
    <mergeCell ref="ADF1:ADG1"/>
    <mergeCell ref="ADH1:ADI1"/>
    <mergeCell ref="ADJ1:ADK1"/>
    <mergeCell ref="ACB1:ACC1"/>
    <mergeCell ref="ACD1:ACE1"/>
    <mergeCell ref="ACF1:ACG1"/>
    <mergeCell ref="ACH1:ACI1"/>
    <mergeCell ref="ACJ1:ACK1"/>
    <mergeCell ref="ACL1:ACM1"/>
    <mergeCell ref="ACN1:ACO1"/>
    <mergeCell ref="ACP1:ACQ1"/>
    <mergeCell ref="ACR1:ACS1"/>
    <mergeCell ref="ABJ1:ABK1"/>
    <mergeCell ref="ABL1:ABM1"/>
    <mergeCell ref="ABN1:ABO1"/>
    <mergeCell ref="ABP1:ABQ1"/>
    <mergeCell ref="ABR1:ABS1"/>
    <mergeCell ref="ABT1:ABU1"/>
    <mergeCell ref="ABV1:ABW1"/>
    <mergeCell ref="ABX1:ABY1"/>
    <mergeCell ref="ABZ1:ACA1"/>
    <mergeCell ref="AAR1:AAS1"/>
    <mergeCell ref="AAT1:AAU1"/>
    <mergeCell ref="AAV1:AAW1"/>
    <mergeCell ref="AAX1:AAY1"/>
    <mergeCell ref="AAZ1:ABA1"/>
    <mergeCell ref="ABB1:ABC1"/>
    <mergeCell ref="ABD1:ABE1"/>
    <mergeCell ref="ABF1:ABG1"/>
    <mergeCell ref="ABH1:ABI1"/>
    <mergeCell ref="ZZ1:AAA1"/>
    <mergeCell ref="AAB1:AAC1"/>
    <mergeCell ref="AAD1:AAE1"/>
    <mergeCell ref="AAF1:AAG1"/>
    <mergeCell ref="AAH1:AAI1"/>
    <mergeCell ref="AAJ1:AAK1"/>
    <mergeCell ref="AAL1:AAM1"/>
    <mergeCell ref="AAN1:AAO1"/>
    <mergeCell ref="AAP1:AAQ1"/>
    <mergeCell ref="YZ1:ZA1"/>
    <mergeCell ref="YN1:YO1"/>
    <mergeCell ref="YR1:YS1"/>
    <mergeCell ref="YV1:YW1"/>
    <mergeCell ref="YH1:YI1"/>
    <mergeCell ref="XP1:XQ1"/>
    <mergeCell ref="YT1:YU1"/>
    <mergeCell ref="XT1:XU1"/>
    <mergeCell ref="ZX1:ZY1"/>
    <mergeCell ref="ZB1:ZC1"/>
    <mergeCell ref="ZD1:ZE1"/>
    <mergeCell ref="ZF1:ZG1"/>
    <mergeCell ref="ZH1:ZI1"/>
    <mergeCell ref="ZV1:ZW1"/>
    <mergeCell ref="ZP1:ZQ1"/>
    <mergeCell ref="ZT1:ZU1"/>
    <mergeCell ref="ZR1:ZS1"/>
    <mergeCell ref="ZN1:ZO1"/>
    <mergeCell ref="ZL1:ZM1"/>
    <mergeCell ref="ZJ1:ZK1"/>
    <mergeCell ref="YX1:YY1"/>
    <mergeCell ref="XJ1:XK1"/>
    <mergeCell ref="XN1:XO1"/>
    <mergeCell ref="XB1:XC1"/>
    <mergeCell ref="WV1:WW1"/>
    <mergeCell ref="XF1:XG1"/>
    <mergeCell ref="XH1:XI1"/>
    <mergeCell ref="WZ1:XA1"/>
    <mergeCell ref="WP1:WQ1"/>
    <mergeCell ref="XV1:XW1"/>
    <mergeCell ref="WR1:WS1"/>
    <mergeCell ref="YP1:YQ1"/>
    <mergeCell ref="YD1:YE1"/>
    <mergeCell ref="XL1:XM1"/>
    <mergeCell ref="XR1:XS1"/>
    <mergeCell ref="XZ1:YA1"/>
    <mergeCell ref="YF1:YG1"/>
    <mergeCell ref="XX1:XY1"/>
    <mergeCell ref="YL1:YM1"/>
    <mergeCell ref="VZ1:WA1"/>
    <mergeCell ref="YJ1:YK1"/>
    <mergeCell ref="WX1:WY1"/>
    <mergeCell ref="WL1:WM1"/>
    <mergeCell ref="XD1:XE1"/>
    <mergeCell ref="YB1:YC1"/>
    <mergeCell ref="WH1:WI1"/>
    <mergeCell ref="WD1:WE1"/>
    <mergeCell ref="WT1:WU1"/>
    <mergeCell ref="WB1:WC1"/>
    <mergeCell ref="WN1:WO1"/>
    <mergeCell ref="VT1:VU1"/>
    <mergeCell ref="VV1:VW1"/>
    <mergeCell ref="VX1:VY1"/>
    <mergeCell ref="WJ1:WK1"/>
    <mergeCell ref="WF1:WG1"/>
    <mergeCell ref="RN1:RO1"/>
    <mergeCell ref="RP1:RQ1"/>
    <mergeCell ref="RR1:RS1"/>
    <mergeCell ref="SD1:SE1"/>
    <mergeCell ref="RZ1:SA1"/>
    <mergeCell ref="UJ1:UK1"/>
    <mergeCell ref="RT1:RU1"/>
    <mergeCell ref="UD1:UE1"/>
    <mergeCell ref="SR1:SS1"/>
    <mergeCell ref="SF1:SG1"/>
    <mergeCell ref="SX1:SY1"/>
    <mergeCell ref="SN1:SO1"/>
    <mergeCell ref="RV1:RW1"/>
    <mergeCell ref="VR1:VS1"/>
    <mergeCell ref="UV1:UW1"/>
    <mergeCell ref="UX1:UY1"/>
    <mergeCell ref="UZ1:VA1"/>
    <mergeCell ref="VB1:VC1"/>
    <mergeCell ref="VP1:VQ1"/>
    <mergeCell ref="RX1:RY1"/>
    <mergeCell ref="TJ1:TK1"/>
    <mergeCell ref="UN1:UO1"/>
    <mergeCell ref="TN1:TO1"/>
    <mergeCell ref="TP1:TQ1"/>
    <mergeCell ref="UH1:UI1"/>
    <mergeCell ref="UL1:UM1"/>
    <mergeCell ref="ST1:SU1"/>
    <mergeCell ref="TX1:TY1"/>
    <mergeCell ref="TF1:TG1"/>
    <mergeCell ref="TL1:TM1"/>
    <mergeCell ref="TT1:TU1"/>
    <mergeCell ref="TZ1:UA1"/>
    <mergeCell ref="TR1:TS1"/>
    <mergeCell ref="UF1:UG1"/>
    <mergeCell ref="TV1:TW1"/>
    <mergeCell ref="VN1:VO1"/>
    <mergeCell ref="VL1:VM1"/>
    <mergeCell ref="SJ1:SK1"/>
    <mergeCell ref="SB1:SC1"/>
    <mergeCell ref="UB1:UC1"/>
    <mergeCell ref="UP1:UQ1"/>
    <mergeCell ref="UT1:UU1"/>
    <mergeCell ref="SH1:SI1"/>
    <mergeCell ref="UR1:US1"/>
    <mergeCell ref="TD1:TE1"/>
    <mergeCell ref="TH1:TI1"/>
    <mergeCell ref="SV1:SW1"/>
    <mergeCell ref="SP1:SQ1"/>
    <mergeCell ref="SZ1:TA1"/>
    <mergeCell ref="TB1:TC1"/>
    <mergeCell ref="SL1:SM1"/>
    <mergeCell ref="VJ1:VK1"/>
    <mergeCell ref="VH1:VI1"/>
    <mergeCell ref="VF1:VG1"/>
    <mergeCell ref="VD1:VE1"/>
    <mergeCell ref="RD1:RE1"/>
    <mergeCell ref="RF1:RG1"/>
    <mergeCell ref="RH1:RI1"/>
    <mergeCell ref="RJ1:RK1"/>
    <mergeCell ref="RL1:RM1"/>
    <mergeCell ref="QT1:QU1"/>
    <mergeCell ref="QV1:QW1"/>
    <mergeCell ref="QX1:QY1"/>
    <mergeCell ref="QZ1:RA1"/>
    <mergeCell ref="RB1:RC1"/>
    <mergeCell ref="QJ1:QK1"/>
    <mergeCell ref="QL1:QM1"/>
    <mergeCell ref="QN1:QO1"/>
    <mergeCell ref="QP1:QQ1"/>
    <mergeCell ref="QR1:QS1"/>
    <mergeCell ref="PZ1:QA1"/>
    <mergeCell ref="QB1:QC1"/>
    <mergeCell ref="QD1:QE1"/>
    <mergeCell ref="QF1:QG1"/>
    <mergeCell ref="QH1:QI1"/>
    <mergeCell ref="PP1:PQ1"/>
    <mergeCell ref="PR1:PS1"/>
    <mergeCell ref="PT1:PU1"/>
    <mergeCell ref="PV1:PW1"/>
    <mergeCell ref="PX1:PY1"/>
    <mergeCell ref="PF1:PG1"/>
    <mergeCell ref="PH1:PI1"/>
    <mergeCell ref="PJ1:PK1"/>
    <mergeCell ref="PL1:PM1"/>
    <mergeCell ref="PN1:PO1"/>
    <mergeCell ref="OV1:OW1"/>
    <mergeCell ref="OX1:OY1"/>
    <mergeCell ref="OZ1:PA1"/>
    <mergeCell ref="PB1:PC1"/>
    <mergeCell ref="PD1:PE1"/>
    <mergeCell ref="OL1:OM1"/>
    <mergeCell ref="ON1:OO1"/>
    <mergeCell ref="OP1:OQ1"/>
    <mergeCell ref="OR1:OS1"/>
    <mergeCell ref="OT1:OU1"/>
    <mergeCell ref="OB1:OC1"/>
    <mergeCell ref="OD1:OE1"/>
    <mergeCell ref="OF1:OG1"/>
    <mergeCell ref="OH1:OI1"/>
    <mergeCell ref="OJ1:OK1"/>
    <mergeCell ref="NR1:NS1"/>
    <mergeCell ref="NT1:NU1"/>
    <mergeCell ref="NV1:NW1"/>
    <mergeCell ref="NX1:NY1"/>
    <mergeCell ref="NZ1:OA1"/>
    <mergeCell ref="NH1:NI1"/>
    <mergeCell ref="NJ1:NK1"/>
    <mergeCell ref="NL1:NM1"/>
    <mergeCell ref="NN1:NO1"/>
    <mergeCell ref="NP1:NQ1"/>
    <mergeCell ref="JB1:JC1"/>
    <mergeCell ref="JD1:JE1"/>
    <mergeCell ref="JF1:JG1"/>
    <mergeCell ref="JR1:JS1"/>
    <mergeCell ref="KV1:KW1"/>
    <mergeCell ref="KJ1:KK1"/>
    <mergeCell ref="KD1:KE1"/>
    <mergeCell ref="KN1:KO1"/>
    <mergeCell ref="JT1:JU1"/>
    <mergeCell ref="JH1:JI1"/>
    <mergeCell ref="JP1:JQ1"/>
    <mergeCell ref="LR1:LS1"/>
    <mergeCell ref="KF1:KG1"/>
    <mergeCell ref="JL1:JM1"/>
    <mergeCell ref="JJ1:JK1"/>
    <mergeCell ref="MB1:MC1"/>
    <mergeCell ref="MT1:MU1"/>
    <mergeCell ref="LB1:LC1"/>
    <mergeCell ref="LD1:LE1"/>
    <mergeCell ref="JV1:JW1"/>
    <mergeCell ref="JX1:JY1"/>
    <mergeCell ref="JZ1:KA1"/>
    <mergeCell ref="MF1:MG1"/>
    <mergeCell ref="KR1:KS1"/>
    <mergeCell ref="JN1:JO1"/>
    <mergeCell ref="KL1:KM1"/>
    <mergeCell ref="LX1:LY1"/>
    <mergeCell ref="KB1:KC1"/>
    <mergeCell ref="KP1:KQ1"/>
    <mergeCell ref="LP1:LQ1"/>
    <mergeCell ref="LT1:LU1"/>
    <mergeCell ref="MH1:MI1"/>
    <mergeCell ref="MD1:ME1"/>
    <mergeCell ref="LJ1:LK1"/>
    <mergeCell ref="KH1:KI1"/>
    <mergeCell ref="MR1:MS1"/>
    <mergeCell ref="LL1:LM1"/>
    <mergeCell ref="KT1:KU1"/>
    <mergeCell ref="KZ1:LA1"/>
    <mergeCell ref="LH1:LI1"/>
    <mergeCell ref="LN1:LO1"/>
    <mergeCell ref="LF1:LG1"/>
    <mergeCell ref="KX1:KY1"/>
    <mergeCell ref="LV1:LW1"/>
    <mergeCell ref="LZ1:MA1"/>
    <mergeCell ref="ND1:NE1"/>
    <mergeCell ref="NB1:NC1"/>
    <mergeCell ref="MZ1:NA1"/>
    <mergeCell ref="MV1:MW1"/>
    <mergeCell ref="NF1:NG1"/>
    <mergeCell ref="MJ1:MK1"/>
    <mergeCell ref="ML1:MM1"/>
    <mergeCell ref="MN1:MO1"/>
    <mergeCell ref="MP1:MQ1"/>
    <mergeCell ref="MX1:MY1"/>
    <mergeCell ref="IZ1:JA1"/>
    <mergeCell ref="ID1:IE1"/>
    <mergeCell ref="IF1:IG1"/>
    <mergeCell ref="IH1:II1"/>
    <mergeCell ref="IJ1:IK1"/>
    <mergeCell ref="IX1:IY1"/>
    <mergeCell ref="IV1:IW1"/>
    <mergeCell ref="IT1:IU1"/>
    <mergeCell ref="IR1:IS1"/>
    <mergeCell ref="IL1:IM1"/>
    <mergeCell ref="IP1:IQ1"/>
    <mergeCell ref="HF1:HG1"/>
    <mergeCell ref="GN1:GO1"/>
    <mergeCell ref="GT1:GU1"/>
    <mergeCell ref="HB1:HC1"/>
    <mergeCell ref="HH1:HI1"/>
    <mergeCell ref="GZ1:HA1"/>
    <mergeCell ref="GR1:GS1"/>
    <mergeCell ref="HP1:HQ1"/>
    <mergeCell ref="HT1:HU1"/>
    <mergeCell ref="HV1:HW1"/>
    <mergeCell ref="IN1:IO1"/>
    <mergeCell ref="GV1:GW1"/>
    <mergeCell ref="GX1:GY1"/>
    <mergeCell ref="HZ1:IA1"/>
    <mergeCell ref="GL1:GM1"/>
    <mergeCell ref="FV1:FW1"/>
    <mergeCell ref="GJ1:GK1"/>
    <mergeCell ref="HJ1:HK1"/>
    <mergeCell ref="HN1:HO1"/>
    <mergeCell ref="HR1:HS1"/>
    <mergeCell ref="IB1:IC1"/>
    <mergeCell ref="HX1:HY1"/>
    <mergeCell ref="HD1:HE1"/>
    <mergeCell ref="GB1:GC1"/>
    <mergeCell ref="HL1:HM1"/>
    <mergeCell ref="FZ1:GA1"/>
    <mergeCell ref="FF1:FG1"/>
    <mergeCell ref="FD1:FE1"/>
    <mergeCell ref="GP1:GQ1"/>
    <mergeCell ref="GD1:GE1"/>
    <mergeCell ref="FX1:FY1"/>
    <mergeCell ref="GH1:GI1"/>
    <mergeCell ref="FN1:FO1"/>
    <mergeCell ref="GF1:GG1"/>
    <mergeCell ref="FP1:FQ1"/>
    <mergeCell ref="FR1:FS1"/>
    <mergeCell ref="FT1:FU1"/>
    <mergeCell ref="EQ1:EU1"/>
    <mergeCell ref="EV1:EW1"/>
    <mergeCell ref="EX1:EY1"/>
    <mergeCell ref="EZ1:FA1"/>
    <mergeCell ref="FL1:FM1"/>
    <mergeCell ref="FH1:FI1"/>
    <mergeCell ref="DR1:DV1"/>
    <mergeCell ref="DW1:EA1"/>
    <mergeCell ref="EB1:EF1"/>
    <mergeCell ref="EG1:EK1"/>
    <mergeCell ref="EL1:EP1"/>
    <mergeCell ref="FB1:FC1"/>
    <mergeCell ref="FJ1:FK1"/>
    <mergeCell ref="CS1:CW1"/>
    <mergeCell ref="CX1:DB1"/>
    <mergeCell ref="DC1:DG1"/>
    <mergeCell ref="DH1:DL1"/>
    <mergeCell ref="DM1:DQ1"/>
    <mergeCell ref="AU1:AY1"/>
    <mergeCell ref="AZ1:BD1"/>
    <mergeCell ref="BE1:BI1"/>
    <mergeCell ref="BJ1:BN1"/>
    <mergeCell ref="BO1:BS1"/>
    <mergeCell ref="B1:F1"/>
    <mergeCell ref="BT1:BX1"/>
    <mergeCell ref="A1:A2"/>
    <mergeCell ref="CI1:CM1"/>
    <mergeCell ref="CN1:CR1"/>
    <mergeCell ref="AA1:AE1"/>
    <mergeCell ref="AF1:AJ1"/>
    <mergeCell ref="AK1:AO1"/>
    <mergeCell ref="AP1:AT1"/>
    <mergeCell ref="G1:K1"/>
    <mergeCell ref="L1:P1"/>
    <mergeCell ref="Q1:U1"/>
    <mergeCell ref="V1:Z1"/>
    <mergeCell ref="BY1:CC1"/>
    <mergeCell ref="CD1:CH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1047-5E76-4317-8099-245CD180A56C}">
  <dimension ref="A1:FP32"/>
  <sheetViews>
    <sheetView workbookViewId="0">
      <pane xSplit="1" topLeftCell="B1" activePane="topRight" state="frozen"/>
      <selection pane="topRight" activeCell="A5" sqref="A5"/>
    </sheetView>
  </sheetViews>
  <sheetFormatPr baseColWidth="10" defaultRowHeight="15" x14ac:dyDescent="0.25"/>
  <cols>
    <col min="1" max="1" width="33.85546875" bestFit="1" customWidth="1"/>
    <col min="43" max="44" width="12" bestFit="1" customWidth="1"/>
    <col min="109" max="110" width="13.42578125" bestFit="1" customWidth="1"/>
    <col min="133" max="134" width="12" bestFit="1" customWidth="1"/>
    <col min="141" max="142" width="13.42578125" bestFit="1" customWidth="1"/>
    <col min="167" max="170" width="15.7109375" bestFit="1" customWidth="1"/>
    <col min="171" max="172" width="14.28515625" bestFit="1" customWidth="1"/>
  </cols>
  <sheetData>
    <row r="1" spans="1:172" ht="36" customHeight="1" thickBot="1" x14ac:dyDescent="0.3">
      <c r="A1" s="585" t="s">
        <v>0</v>
      </c>
      <c r="B1" s="555" t="s">
        <v>71</v>
      </c>
      <c r="C1" s="556"/>
      <c r="D1" s="556"/>
      <c r="E1" s="556"/>
      <c r="F1" s="557"/>
      <c r="G1" s="570" t="s">
        <v>72</v>
      </c>
      <c r="H1" s="571"/>
      <c r="I1" s="572"/>
      <c r="J1" s="555" t="s">
        <v>73</v>
      </c>
      <c r="K1" s="556"/>
      <c r="L1" s="556"/>
      <c r="M1" s="556"/>
      <c r="N1" s="557"/>
      <c r="O1" s="555" t="s">
        <v>74</v>
      </c>
      <c r="P1" s="556"/>
      <c r="Q1" s="556"/>
      <c r="R1" s="556"/>
      <c r="S1" s="557"/>
      <c r="T1" s="555" t="s">
        <v>75</v>
      </c>
      <c r="U1" s="556"/>
      <c r="V1" s="556"/>
      <c r="W1" s="556"/>
      <c r="X1" s="557"/>
      <c r="Y1" s="555" t="s">
        <v>76</v>
      </c>
      <c r="Z1" s="556"/>
      <c r="AA1" s="556"/>
      <c r="AB1" s="556"/>
      <c r="AC1" s="557"/>
      <c r="AD1" s="555" t="s">
        <v>77</v>
      </c>
      <c r="AE1" s="556"/>
      <c r="AF1" s="556"/>
      <c r="AG1" s="556"/>
      <c r="AH1" s="557"/>
      <c r="AI1" s="555" t="s">
        <v>78</v>
      </c>
      <c r="AJ1" s="556"/>
      <c r="AK1" s="556"/>
      <c r="AL1" s="556"/>
      <c r="AM1" s="557"/>
      <c r="AN1" s="552" t="s">
        <v>79</v>
      </c>
      <c r="AO1" s="553"/>
      <c r="AP1" s="553"/>
      <c r="AQ1" s="553"/>
      <c r="AR1" s="554"/>
      <c r="AS1" s="541" t="s">
        <v>71</v>
      </c>
      <c r="AT1" s="542"/>
      <c r="AU1" s="573" t="s">
        <v>72</v>
      </c>
      <c r="AV1" s="574"/>
      <c r="AW1" s="541" t="s">
        <v>73</v>
      </c>
      <c r="AX1" s="542"/>
      <c r="AY1" s="541" t="s">
        <v>115</v>
      </c>
      <c r="AZ1" s="542"/>
      <c r="BA1" s="541" t="s">
        <v>75</v>
      </c>
      <c r="BB1" s="542"/>
      <c r="BC1" s="541" t="s">
        <v>76</v>
      </c>
      <c r="BD1" s="542"/>
      <c r="BE1" s="541" t="s">
        <v>78</v>
      </c>
      <c r="BF1" s="542"/>
      <c r="BG1" s="541" t="s">
        <v>77</v>
      </c>
      <c r="BH1" s="542"/>
      <c r="BI1" s="549" t="s">
        <v>79</v>
      </c>
      <c r="BJ1" s="550"/>
      <c r="BK1" s="558" t="s">
        <v>71</v>
      </c>
      <c r="BL1" s="559"/>
      <c r="BM1" s="558" t="s">
        <v>72</v>
      </c>
      <c r="BN1" s="559"/>
      <c r="BO1" s="558" t="s">
        <v>73</v>
      </c>
      <c r="BP1" s="559"/>
      <c r="BQ1" s="558" t="s">
        <v>75</v>
      </c>
      <c r="BR1" s="559"/>
      <c r="BS1" s="558" t="s">
        <v>76</v>
      </c>
      <c r="BT1" s="559"/>
      <c r="BU1" s="558" t="s">
        <v>78</v>
      </c>
      <c r="BV1" s="559"/>
      <c r="BW1" s="558" t="s">
        <v>77</v>
      </c>
      <c r="BX1" s="559"/>
      <c r="BY1" s="560" t="s">
        <v>79</v>
      </c>
      <c r="BZ1" s="561"/>
      <c r="CA1" s="563" t="s">
        <v>71</v>
      </c>
      <c r="CB1" s="564"/>
      <c r="CC1" s="563" t="s">
        <v>72</v>
      </c>
      <c r="CD1" s="564"/>
      <c r="CE1" s="563" t="s">
        <v>73</v>
      </c>
      <c r="CF1" s="564"/>
      <c r="CG1" s="563" t="s">
        <v>75</v>
      </c>
      <c r="CH1" s="564"/>
      <c r="CI1" s="563" t="s">
        <v>76</v>
      </c>
      <c r="CJ1" s="564"/>
      <c r="CK1" s="563" t="s">
        <v>78</v>
      </c>
      <c r="CL1" s="564"/>
      <c r="CM1" s="563" t="s">
        <v>77</v>
      </c>
      <c r="CN1" s="564"/>
      <c r="CO1" s="565" t="s">
        <v>79</v>
      </c>
      <c r="CP1" s="567"/>
      <c r="CQ1" s="558" t="s">
        <v>71</v>
      </c>
      <c r="CR1" s="559"/>
      <c r="CS1" s="558" t="s">
        <v>72</v>
      </c>
      <c r="CT1" s="559"/>
      <c r="CU1" s="558" t="s">
        <v>73</v>
      </c>
      <c r="CV1" s="559"/>
      <c r="CW1" s="558" t="s">
        <v>75</v>
      </c>
      <c r="CX1" s="559"/>
      <c r="CY1" s="558" t="s">
        <v>76</v>
      </c>
      <c r="CZ1" s="559"/>
      <c r="DA1" s="558" t="s">
        <v>78</v>
      </c>
      <c r="DB1" s="559"/>
      <c r="DC1" s="558" t="s">
        <v>77</v>
      </c>
      <c r="DD1" s="559"/>
      <c r="DE1" s="560" t="s">
        <v>79</v>
      </c>
      <c r="DF1" s="561"/>
      <c r="DG1" s="558" t="s">
        <v>71</v>
      </c>
      <c r="DH1" s="559"/>
      <c r="DI1" s="558" t="s">
        <v>72</v>
      </c>
      <c r="DJ1" s="559"/>
      <c r="DK1" s="558" t="s">
        <v>73</v>
      </c>
      <c r="DL1" s="559"/>
      <c r="DM1" s="558" t="s">
        <v>75</v>
      </c>
      <c r="DN1" s="559"/>
      <c r="DO1" s="558" t="s">
        <v>76</v>
      </c>
      <c r="DP1" s="559"/>
      <c r="DQ1" s="558" t="s">
        <v>146</v>
      </c>
      <c r="DR1" s="559"/>
      <c r="DS1" s="558" t="s">
        <v>147</v>
      </c>
      <c r="DT1" s="559"/>
      <c r="DU1" s="560" t="s">
        <v>79</v>
      </c>
      <c r="DV1" s="561"/>
      <c r="DW1" s="568" t="s">
        <v>71</v>
      </c>
      <c r="DX1" s="587"/>
      <c r="DY1" s="568" t="s">
        <v>72</v>
      </c>
      <c r="DZ1" s="587"/>
      <c r="EA1" s="568" t="s">
        <v>73</v>
      </c>
      <c r="EB1" s="587"/>
      <c r="EC1" s="568" t="s">
        <v>75</v>
      </c>
      <c r="ED1" s="587"/>
      <c r="EE1" s="568" t="s">
        <v>76</v>
      </c>
      <c r="EF1" s="587"/>
      <c r="EG1" s="568" t="s">
        <v>146</v>
      </c>
      <c r="EH1" s="587"/>
      <c r="EI1" s="568" t="s">
        <v>147</v>
      </c>
      <c r="EJ1" s="587"/>
      <c r="EK1" s="568" t="s">
        <v>79</v>
      </c>
      <c r="EL1" s="587"/>
      <c r="EM1" s="603" t="s">
        <v>151</v>
      </c>
      <c r="EN1" s="603"/>
      <c r="EO1" s="690" t="s">
        <v>152</v>
      </c>
      <c r="EP1" s="690"/>
      <c r="EQ1" s="603" t="s">
        <v>153</v>
      </c>
      <c r="ER1" s="603"/>
      <c r="ES1" s="603" t="s">
        <v>154</v>
      </c>
      <c r="ET1" s="603"/>
      <c r="EU1" s="603" t="s">
        <v>155</v>
      </c>
      <c r="EV1" s="603"/>
      <c r="EW1" s="603" t="s">
        <v>156</v>
      </c>
      <c r="EX1" s="603"/>
      <c r="EY1" s="703" t="s">
        <v>168</v>
      </c>
      <c r="EZ1" s="703"/>
      <c r="FA1" s="703" t="s">
        <v>169</v>
      </c>
      <c r="FB1" s="703"/>
      <c r="FC1" s="703" t="s">
        <v>71</v>
      </c>
      <c r="FD1" s="703"/>
      <c r="FE1" s="703" t="s">
        <v>284</v>
      </c>
      <c r="FF1" s="703"/>
      <c r="FG1" s="703" t="s">
        <v>285</v>
      </c>
      <c r="FH1" s="703"/>
      <c r="FI1" s="703" t="s">
        <v>156</v>
      </c>
      <c r="FJ1" s="704"/>
      <c r="FK1" s="703" t="s">
        <v>156</v>
      </c>
      <c r="FL1" s="703"/>
      <c r="FM1" s="703" t="s">
        <v>284</v>
      </c>
      <c r="FN1" s="703"/>
      <c r="FO1" s="690" t="s">
        <v>152</v>
      </c>
      <c r="FP1" s="690"/>
    </row>
    <row r="2" spans="1:172" ht="15.75" thickBot="1" x14ac:dyDescent="0.3">
      <c r="A2" s="586"/>
      <c r="B2" s="104">
        <v>2008</v>
      </c>
      <c r="C2" s="104">
        <v>2009</v>
      </c>
      <c r="D2" s="104">
        <v>2010</v>
      </c>
      <c r="E2" s="104">
        <v>2011</v>
      </c>
      <c r="F2" s="104">
        <v>2012</v>
      </c>
      <c r="G2" s="22">
        <v>2008</v>
      </c>
      <c r="H2" s="104">
        <v>2011</v>
      </c>
      <c r="I2" s="104">
        <v>2012</v>
      </c>
      <c r="J2" s="104">
        <v>2008</v>
      </c>
      <c r="K2" s="104">
        <v>2009</v>
      </c>
      <c r="L2" s="104">
        <v>2010</v>
      </c>
      <c r="M2" s="104">
        <v>2011</v>
      </c>
      <c r="N2" s="104">
        <v>2012</v>
      </c>
      <c r="O2" s="104">
        <v>2008</v>
      </c>
      <c r="P2" s="104">
        <v>2009</v>
      </c>
      <c r="Q2" s="184">
        <v>2010</v>
      </c>
      <c r="R2" s="104">
        <v>2011</v>
      </c>
      <c r="S2" s="104">
        <v>2012</v>
      </c>
      <c r="T2" s="68">
        <v>2008</v>
      </c>
      <c r="U2" s="22">
        <v>2009</v>
      </c>
      <c r="V2" s="22">
        <v>2010</v>
      </c>
      <c r="W2" s="104">
        <v>2011</v>
      </c>
      <c r="X2" s="185">
        <v>2012</v>
      </c>
      <c r="Y2" s="185">
        <v>2008</v>
      </c>
      <c r="Z2" s="104">
        <v>2009</v>
      </c>
      <c r="AA2" s="104">
        <v>2010</v>
      </c>
      <c r="AB2" s="104">
        <v>2011</v>
      </c>
      <c r="AC2" s="104">
        <v>2012</v>
      </c>
      <c r="AD2" s="22">
        <v>2008</v>
      </c>
      <c r="AE2" s="22">
        <v>2009</v>
      </c>
      <c r="AF2" s="22">
        <v>2010</v>
      </c>
      <c r="AG2" s="104">
        <v>2011</v>
      </c>
      <c r="AH2" s="104">
        <v>2012</v>
      </c>
      <c r="AI2" s="22">
        <v>2008</v>
      </c>
      <c r="AJ2" s="22">
        <v>2009</v>
      </c>
      <c r="AK2" s="22">
        <v>2010</v>
      </c>
      <c r="AL2" s="184">
        <v>2011</v>
      </c>
      <c r="AM2" s="104">
        <v>2012</v>
      </c>
      <c r="AN2" s="185">
        <v>2008</v>
      </c>
      <c r="AO2" s="104">
        <v>2009</v>
      </c>
      <c r="AP2" s="104">
        <v>2010</v>
      </c>
      <c r="AQ2" s="104">
        <v>2011</v>
      </c>
      <c r="AR2" s="104">
        <v>2012</v>
      </c>
      <c r="AS2" s="253">
        <v>2012</v>
      </c>
      <c r="AT2" s="253">
        <v>2013</v>
      </c>
      <c r="AU2" s="253">
        <v>2012</v>
      </c>
      <c r="AV2" s="253">
        <v>2013</v>
      </c>
      <c r="AW2" s="253">
        <v>2012</v>
      </c>
      <c r="AX2" s="253">
        <v>2013</v>
      </c>
      <c r="AY2" s="253">
        <v>2012</v>
      </c>
      <c r="AZ2" s="253">
        <v>2013</v>
      </c>
      <c r="BA2" s="253">
        <v>2012</v>
      </c>
      <c r="BB2" s="253">
        <v>2013</v>
      </c>
      <c r="BC2" s="253">
        <v>2012</v>
      </c>
      <c r="BD2" s="253">
        <v>2013</v>
      </c>
      <c r="BE2" s="253">
        <v>2012</v>
      </c>
      <c r="BF2" s="253">
        <v>2013</v>
      </c>
      <c r="BG2" s="253">
        <v>2012</v>
      </c>
      <c r="BH2" s="253">
        <v>2013</v>
      </c>
      <c r="BI2" s="253">
        <v>2012</v>
      </c>
      <c r="BJ2" s="253">
        <v>2013</v>
      </c>
      <c r="BK2" s="310">
        <v>2013</v>
      </c>
      <c r="BL2" s="310">
        <v>2014</v>
      </c>
      <c r="BM2" s="310">
        <v>2013</v>
      </c>
      <c r="BN2" s="310">
        <v>2014</v>
      </c>
      <c r="BO2" s="310">
        <v>2013</v>
      </c>
      <c r="BP2" s="310">
        <v>2014</v>
      </c>
      <c r="BQ2" s="310">
        <v>2013</v>
      </c>
      <c r="BR2" s="310">
        <v>2014</v>
      </c>
      <c r="BS2" s="310">
        <v>2013</v>
      </c>
      <c r="BT2" s="310">
        <v>2014</v>
      </c>
      <c r="BU2" s="310">
        <v>2013</v>
      </c>
      <c r="BV2" s="310">
        <v>2014</v>
      </c>
      <c r="BW2" s="310">
        <v>2013</v>
      </c>
      <c r="BX2" s="310">
        <v>2014</v>
      </c>
      <c r="BY2" s="310">
        <v>2013</v>
      </c>
      <c r="BZ2" s="310">
        <v>2014</v>
      </c>
      <c r="CA2" s="395">
        <v>2014</v>
      </c>
      <c r="CB2" s="395">
        <v>2015</v>
      </c>
      <c r="CC2" s="395">
        <v>2014</v>
      </c>
      <c r="CD2" s="395">
        <v>2015</v>
      </c>
      <c r="CE2" s="395">
        <v>2014</v>
      </c>
      <c r="CF2" s="395">
        <v>2015</v>
      </c>
      <c r="CG2" s="395">
        <v>2014</v>
      </c>
      <c r="CH2" s="395">
        <v>2015</v>
      </c>
      <c r="CI2" s="395">
        <v>2014</v>
      </c>
      <c r="CJ2" s="395">
        <v>2015</v>
      </c>
      <c r="CK2" s="395">
        <v>2014</v>
      </c>
      <c r="CL2" s="395">
        <v>2015</v>
      </c>
      <c r="CM2" s="395">
        <v>2014</v>
      </c>
      <c r="CN2" s="395">
        <v>2015</v>
      </c>
      <c r="CO2" s="395">
        <v>2014</v>
      </c>
      <c r="CP2" s="395">
        <v>2015</v>
      </c>
      <c r="CQ2" s="310">
        <v>2015</v>
      </c>
      <c r="CR2" s="310">
        <v>2016</v>
      </c>
      <c r="CS2" s="310">
        <v>2015</v>
      </c>
      <c r="CT2" s="310">
        <v>2016</v>
      </c>
      <c r="CU2" s="310">
        <v>2015</v>
      </c>
      <c r="CV2" s="310">
        <v>2016</v>
      </c>
      <c r="CW2" s="310">
        <v>2015</v>
      </c>
      <c r="CX2" s="310">
        <v>2016</v>
      </c>
      <c r="CY2" s="310">
        <v>2015</v>
      </c>
      <c r="CZ2" s="310">
        <v>2016</v>
      </c>
      <c r="DA2" s="310">
        <v>2015</v>
      </c>
      <c r="DB2" s="310">
        <v>2016</v>
      </c>
      <c r="DC2" s="310">
        <v>2015</v>
      </c>
      <c r="DD2" s="310">
        <v>2016</v>
      </c>
      <c r="DE2" s="310">
        <v>2015</v>
      </c>
      <c r="DF2" s="310">
        <v>2016</v>
      </c>
      <c r="DG2" s="310">
        <v>2016</v>
      </c>
      <c r="DH2" s="310">
        <v>2017</v>
      </c>
      <c r="DI2" s="310">
        <v>2016</v>
      </c>
      <c r="DJ2" s="310">
        <v>2017</v>
      </c>
      <c r="DK2" s="310">
        <v>2016</v>
      </c>
      <c r="DL2" s="310">
        <v>2017</v>
      </c>
      <c r="DM2" s="310">
        <v>2016</v>
      </c>
      <c r="DN2" s="310">
        <v>2017</v>
      </c>
      <c r="DO2" s="310">
        <v>2016</v>
      </c>
      <c r="DP2" s="310">
        <v>2017</v>
      </c>
      <c r="DQ2" s="310">
        <v>2016</v>
      </c>
      <c r="DR2" s="310">
        <v>2017</v>
      </c>
      <c r="DS2" s="310">
        <v>2016</v>
      </c>
      <c r="DT2" s="310">
        <v>2017</v>
      </c>
      <c r="DU2" s="310">
        <v>2016</v>
      </c>
      <c r="DV2" s="310">
        <v>2017</v>
      </c>
      <c r="DW2" s="310">
        <v>2017</v>
      </c>
      <c r="DX2" s="310">
        <v>2018</v>
      </c>
      <c r="DY2" s="310">
        <v>2017</v>
      </c>
      <c r="DZ2" s="310">
        <v>2018</v>
      </c>
      <c r="EA2" s="310">
        <v>2017</v>
      </c>
      <c r="EB2" s="310">
        <v>2018</v>
      </c>
      <c r="EC2" s="310">
        <v>2017</v>
      </c>
      <c r="ED2" s="310">
        <v>2018</v>
      </c>
      <c r="EE2" s="310">
        <v>2017</v>
      </c>
      <c r="EF2" s="310">
        <v>2018</v>
      </c>
      <c r="EG2" s="310">
        <v>2017</v>
      </c>
      <c r="EH2" s="310">
        <v>2018</v>
      </c>
      <c r="EI2" s="310">
        <v>2017</v>
      </c>
      <c r="EJ2" s="310">
        <v>2018</v>
      </c>
      <c r="EK2" s="310">
        <v>2017</v>
      </c>
      <c r="EL2" s="812">
        <v>2018</v>
      </c>
      <c r="EM2" s="604">
        <v>2019</v>
      </c>
      <c r="EN2" s="604">
        <v>2020</v>
      </c>
      <c r="EO2" s="604">
        <v>2019</v>
      </c>
      <c r="EP2" s="604">
        <v>2020</v>
      </c>
      <c r="EQ2" s="604">
        <v>2019</v>
      </c>
      <c r="ER2" s="604">
        <v>2020</v>
      </c>
      <c r="ES2" s="604">
        <v>2019</v>
      </c>
      <c r="ET2" s="604">
        <v>2020</v>
      </c>
      <c r="EU2" s="604">
        <v>2019</v>
      </c>
      <c r="EV2" s="604">
        <v>2020</v>
      </c>
      <c r="EW2" s="604">
        <v>2019</v>
      </c>
      <c r="EX2" s="604">
        <v>2020</v>
      </c>
      <c r="EY2" s="705">
        <v>2021</v>
      </c>
      <c r="EZ2" s="705">
        <v>2022</v>
      </c>
      <c r="FA2" s="705">
        <v>2021</v>
      </c>
      <c r="FB2" s="705">
        <v>2022</v>
      </c>
      <c r="FC2" s="705">
        <v>2021</v>
      </c>
      <c r="FD2" s="705">
        <v>2022</v>
      </c>
      <c r="FE2" s="705">
        <v>2021</v>
      </c>
      <c r="FF2" s="705">
        <v>2022</v>
      </c>
      <c r="FG2" s="705">
        <v>2021</v>
      </c>
      <c r="FH2" s="705">
        <v>2022</v>
      </c>
      <c r="FI2" s="705">
        <v>2021</v>
      </c>
      <c r="FJ2" s="719">
        <v>2022</v>
      </c>
      <c r="FK2" s="736">
        <v>2022</v>
      </c>
      <c r="FL2" s="736">
        <v>2023</v>
      </c>
      <c r="FM2" s="736">
        <v>2022</v>
      </c>
      <c r="FN2" s="736">
        <v>2023</v>
      </c>
      <c r="FO2" s="736">
        <v>2022</v>
      </c>
      <c r="FP2" s="736">
        <v>2023</v>
      </c>
    </row>
    <row r="3" spans="1:172" ht="15.75" x14ac:dyDescent="0.25">
      <c r="A3" s="103" t="s">
        <v>5</v>
      </c>
      <c r="B3" s="107"/>
      <c r="C3" s="105"/>
      <c r="D3" s="164"/>
      <c r="E3" s="164"/>
      <c r="F3" s="173"/>
      <c r="G3" s="106"/>
      <c r="H3" s="26"/>
      <c r="I3" s="26"/>
      <c r="J3" s="105"/>
      <c r="K3" s="105"/>
      <c r="L3" s="164"/>
      <c r="M3" s="164"/>
      <c r="N3" s="173"/>
      <c r="O3" s="105"/>
      <c r="P3" s="105"/>
      <c r="Q3" s="164"/>
      <c r="R3" s="164"/>
      <c r="S3" s="164"/>
      <c r="T3" s="162"/>
      <c r="U3" s="160"/>
      <c r="V3" s="199"/>
      <c r="W3" s="192"/>
      <c r="X3" s="193"/>
      <c r="Y3" s="107"/>
      <c r="Z3" s="105"/>
      <c r="AA3" s="164"/>
      <c r="AB3" s="164"/>
      <c r="AC3" s="173"/>
      <c r="AD3" s="26"/>
      <c r="AE3" s="26"/>
      <c r="AF3" s="165"/>
      <c r="AG3" s="26"/>
      <c r="AH3" s="26"/>
      <c r="AI3" s="151"/>
      <c r="AJ3" s="106"/>
      <c r="AK3" s="109"/>
      <c r="AL3" s="26"/>
      <c r="AM3" s="151"/>
      <c r="AN3" s="108"/>
      <c r="AO3" s="106"/>
      <c r="AP3" s="26"/>
      <c r="AQ3" s="151"/>
      <c r="AR3" s="151"/>
      <c r="AS3" s="173"/>
      <c r="AT3" s="105"/>
      <c r="AU3" s="26"/>
      <c r="AV3" s="26"/>
      <c r="AW3" s="173"/>
      <c r="AX3" s="105"/>
      <c r="AY3" s="105"/>
      <c r="AZ3" s="105"/>
      <c r="BA3" s="193"/>
      <c r="BB3" s="193"/>
      <c r="BC3" s="173"/>
      <c r="BD3" s="105"/>
      <c r="BE3" s="151"/>
      <c r="BF3" s="106"/>
      <c r="BG3" s="26"/>
      <c r="BH3" s="26"/>
      <c r="BI3" s="151"/>
      <c r="BJ3" s="106"/>
      <c r="BK3" s="173"/>
      <c r="BL3" s="105"/>
      <c r="BM3" s="26"/>
      <c r="BN3" s="26"/>
      <c r="BO3" s="173"/>
      <c r="BP3" s="105"/>
      <c r="BQ3" s="193"/>
      <c r="BR3" s="193"/>
      <c r="BS3" s="173"/>
      <c r="BT3" s="105"/>
      <c r="BU3" s="151"/>
      <c r="BV3" s="106"/>
      <c r="BW3" s="26"/>
      <c r="BX3" s="26"/>
      <c r="BY3" s="151"/>
      <c r="BZ3" s="106"/>
      <c r="CA3" s="396"/>
      <c r="CB3" s="397"/>
      <c r="CC3" s="348"/>
      <c r="CD3" s="348"/>
      <c r="CE3" s="396"/>
      <c r="CF3" s="397"/>
      <c r="CG3" s="398"/>
      <c r="CH3" s="398"/>
      <c r="CI3" s="396"/>
      <c r="CJ3" s="397"/>
      <c r="CK3" s="399"/>
      <c r="CL3" s="400"/>
      <c r="CM3" s="348"/>
      <c r="CN3" s="348"/>
      <c r="CO3" s="399"/>
      <c r="CP3" s="400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6"/>
      <c r="DO3" s="106"/>
      <c r="DP3" s="106"/>
      <c r="DQ3" s="106"/>
      <c r="DR3" s="106"/>
      <c r="DS3" s="106"/>
      <c r="DT3" s="106"/>
      <c r="DU3" s="106"/>
      <c r="DV3" s="106"/>
      <c r="DW3" s="481"/>
      <c r="DX3" s="482"/>
      <c r="DY3" s="481"/>
      <c r="DZ3" s="482"/>
      <c r="EA3" s="481"/>
      <c r="EB3" s="482"/>
      <c r="EC3" s="481"/>
      <c r="ED3" s="482"/>
      <c r="EE3" s="481"/>
      <c r="EF3" s="482"/>
      <c r="EG3" s="481"/>
      <c r="EH3" s="482"/>
      <c r="EI3" s="481"/>
      <c r="EJ3" s="482"/>
      <c r="EK3" s="481"/>
      <c r="EL3" s="481"/>
      <c r="EM3" s="605"/>
      <c r="EN3" s="605"/>
      <c r="EO3" s="605"/>
      <c r="EP3" s="605"/>
      <c r="EQ3" s="605"/>
      <c r="ER3" s="605"/>
      <c r="ES3" s="605"/>
      <c r="ET3" s="605"/>
      <c r="EU3" s="605"/>
      <c r="EV3" s="605"/>
      <c r="EW3" s="605"/>
      <c r="EX3" s="605"/>
      <c r="EY3" s="605"/>
      <c r="EZ3" s="605"/>
      <c r="FA3" s="605"/>
      <c r="FB3" s="605"/>
      <c r="FC3" s="605"/>
      <c r="FD3" s="605"/>
      <c r="FE3" s="605"/>
      <c r="FF3" s="605"/>
      <c r="FG3" s="605"/>
      <c r="FH3" s="605"/>
      <c r="FI3" s="605"/>
      <c r="FJ3" s="616"/>
      <c r="FK3" s="605"/>
      <c r="FL3" s="605"/>
      <c r="FM3" s="605"/>
      <c r="FN3" s="605"/>
      <c r="FO3" s="605"/>
      <c r="FP3" s="605"/>
    </row>
    <row r="4" spans="1:172" x14ac:dyDescent="0.25">
      <c r="A4" s="71" t="s">
        <v>6</v>
      </c>
      <c r="B4" s="111"/>
      <c r="C4" s="110"/>
      <c r="D4" s="110"/>
      <c r="E4" s="110"/>
      <c r="F4" s="174"/>
      <c r="G4" s="30"/>
      <c r="H4" s="30"/>
      <c r="I4" s="30"/>
      <c r="J4" s="110"/>
      <c r="K4" s="110"/>
      <c r="L4" s="110"/>
      <c r="M4" s="110"/>
      <c r="N4" s="174"/>
      <c r="O4" s="110"/>
      <c r="P4" s="110"/>
      <c r="Q4" s="110"/>
      <c r="R4" s="110"/>
      <c r="S4" s="110"/>
      <c r="T4" s="163"/>
      <c r="U4" s="161"/>
      <c r="V4" s="200"/>
      <c r="W4" s="159"/>
      <c r="X4" s="194"/>
      <c r="Y4" s="111"/>
      <c r="Z4" s="110"/>
      <c r="AA4" s="110"/>
      <c r="AB4" s="110"/>
      <c r="AC4" s="174"/>
      <c r="AD4" s="30"/>
      <c r="AE4" s="30"/>
      <c r="AF4" s="113"/>
      <c r="AG4" s="30"/>
      <c r="AH4" s="30"/>
      <c r="AI4" s="112"/>
      <c r="AJ4" s="30"/>
      <c r="AK4" s="113"/>
      <c r="AL4" s="30"/>
      <c r="AM4" s="112"/>
      <c r="AN4" s="112"/>
      <c r="AO4" s="30"/>
      <c r="AP4" s="30"/>
      <c r="AQ4" s="112"/>
      <c r="AR4" s="112"/>
      <c r="AS4" s="174"/>
      <c r="AT4" s="110"/>
      <c r="AU4" s="30"/>
      <c r="AV4" s="30"/>
      <c r="AW4" s="174"/>
      <c r="AX4" s="110"/>
      <c r="AY4" s="110"/>
      <c r="AZ4" s="110"/>
      <c r="BA4" s="194"/>
      <c r="BB4" s="194"/>
      <c r="BC4" s="174"/>
      <c r="BD4" s="110"/>
      <c r="BE4" s="112"/>
      <c r="BF4" s="30"/>
      <c r="BG4" s="30"/>
      <c r="BH4" s="30"/>
      <c r="BI4" s="112"/>
      <c r="BJ4" s="30"/>
      <c r="BK4" s="174"/>
      <c r="BL4" s="110"/>
      <c r="BM4" s="30"/>
      <c r="BN4" s="30"/>
      <c r="BO4" s="174"/>
      <c r="BP4" s="110"/>
      <c r="BQ4" s="194"/>
      <c r="BR4" s="194"/>
      <c r="BS4" s="174"/>
      <c r="BT4" s="110"/>
      <c r="BU4" s="112"/>
      <c r="BV4" s="30"/>
      <c r="BW4" s="30"/>
      <c r="BX4" s="30"/>
      <c r="BY4" s="112"/>
      <c r="BZ4" s="30"/>
      <c r="CA4" s="401"/>
      <c r="CB4" s="402"/>
      <c r="CC4" s="351"/>
      <c r="CD4" s="351"/>
      <c r="CE4" s="401"/>
      <c r="CF4" s="402"/>
      <c r="CG4" s="403"/>
      <c r="CH4" s="403"/>
      <c r="CI4" s="401"/>
      <c r="CJ4" s="402"/>
      <c r="CK4" s="404"/>
      <c r="CL4" s="351"/>
      <c r="CM4" s="351"/>
      <c r="CN4" s="351"/>
      <c r="CO4" s="404"/>
      <c r="CP4" s="351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31"/>
      <c r="DX4" s="331"/>
      <c r="DY4" s="331"/>
      <c r="DZ4" s="331"/>
      <c r="EA4" s="331"/>
      <c r="EB4" s="331"/>
      <c r="EC4" s="331"/>
      <c r="ED4" s="331"/>
      <c r="EE4" s="331"/>
      <c r="EF4" s="331"/>
      <c r="EG4" s="331"/>
      <c r="EH4" s="331"/>
      <c r="EI4" s="331"/>
      <c r="EJ4" s="331"/>
      <c r="EK4" s="331"/>
      <c r="EL4" s="813"/>
      <c r="EM4" s="605"/>
      <c r="EN4" s="605"/>
      <c r="EO4" s="605"/>
      <c r="EP4" s="605"/>
      <c r="EQ4" s="605"/>
      <c r="ER4" s="605"/>
      <c r="ES4" s="605"/>
      <c r="ET4" s="605"/>
      <c r="EU4" s="605"/>
      <c r="EV4" s="605"/>
      <c r="EW4" s="605"/>
      <c r="EX4" s="605"/>
      <c r="EY4" s="605"/>
      <c r="EZ4" s="605"/>
      <c r="FA4" s="605"/>
      <c r="FB4" s="605"/>
      <c r="FC4" s="605"/>
      <c r="FD4" s="605"/>
      <c r="FE4" s="605"/>
      <c r="FF4" s="605"/>
      <c r="FG4" s="605"/>
      <c r="FH4" s="605"/>
      <c r="FI4" s="605"/>
      <c r="FJ4" s="616"/>
      <c r="FK4" s="605"/>
      <c r="FL4" s="605"/>
      <c r="FM4" s="605"/>
      <c r="FN4" s="605"/>
      <c r="FO4" s="605"/>
      <c r="FP4" s="605"/>
    </row>
    <row r="5" spans="1:172" x14ac:dyDescent="0.25">
      <c r="A5" s="69" t="s">
        <v>80</v>
      </c>
      <c r="B5" s="175">
        <v>6426183.9579999996</v>
      </c>
      <c r="C5" s="114">
        <v>5336263.2560000001</v>
      </c>
      <c r="D5" s="152">
        <v>5668755.8090000004</v>
      </c>
      <c r="E5" s="152">
        <v>5860958</v>
      </c>
      <c r="F5" s="115">
        <v>6770129</v>
      </c>
      <c r="G5" s="114">
        <v>811592</v>
      </c>
      <c r="H5" s="152">
        <v>2168125</v>
      </c>
      <c r="I5" s="152">
        <v>2178574</v>
      </c>
      <c r="J5" s="114">
        <v>582506.50899999996</v>
      </c>
      <c r="K5" s="114">
        <v>670093</v>
      </c>
      <c r="L5" s="152">
        <v>674897.81099999999</v>
      </c>
      <c r="M5" s="152">
        <v>794902</v>
      </c>
      <c r="N5" s="115">
        <v>616956</v>
      </c>
      <c r="O5" s="114">
        <v>0</v>
      </c>
      <c r="P5" s="114">
        <v>4197058</v>
      </c>
      <c r="Q5" s="114">
        <v>5613185</v>
      </c>
      <c r="R5" s="114">
        <v>4553062</v>
      </c>
      <c r="S5" s="114"/>
      <c r="T5" s="152">
        <v>599216</v>
      </c>
      <c r="U5" s="121">
        <v>4150836</v>
      </c>
      <c r="V5" s="152">
        <v>114778234</v>
      </c>
      <c r="W5" s="152">
        <v>405298047</v>
      </c>
      <c r="X5" s="145">
        <v>253200936</v>
      </c>
      <c r="Y5" s="175">
        <v>24549595</v>
      </c>
      <c r="Z5" s="114">
        <v>18325.435000000001</v>
      </c>
      <c r="AA5" s="152">
        <v>10256226</v>
      </c>
      <c r="AB5" s="152">
        <v>8858130</v>
      </c>
      <c r="AC5" s="115">
        <v>4099923</v>
      </c>
      <c r="AD5" s="114">
        <v>0</v>
      </c>
      <c r="AE5" s="114">
        <v>2824923</v>
      </c>
      <c r="AF5" s="166">
        <v>1723431.622</v>
      </c>
      <c r="AG5" s="152">
        <v>3369536</v>
      </c>
      <c r="AH5" s="152">
        <v>1906497</v>
      </c>
      <c r="AI5" s="145">
        <v>0</v>
      </c>
      <c r="AJ5" s="114">
        <v>1171005.5519999999</v>
      </c>
      <c r="AK5" s="186">
        <v>1572715.683</v>
      </c>
      <c r="AL5" s="152">
        <v>1779735</v>
      </c>
      <c r="AM5" s="145">
        <v>1757743</v>
      </c>
      <c r="AN5" s="175">
        <v>84113000</v>
      </c>
      <c r="AO5" s="114">
        <v>84404000</v>
      </c>
      <c r="AP5" s="152">
        <v>61916000</v>
      </c>
      <c r="AQ5" s="145">
        <v>102026000</v>
      </c>
      <c r="AR5" s="145">
        <v>200544000</v>
      </c>
      <c r="AS5" s="236">
        <v>6770129</v>
      </c>
      <c r="AT5" s="114">
        <v>5883323</v>
      </c>
      <c r="AU5" s="247">
        <v>2178574</v>
      </c>
      <c r="AV5" s="247">
        <v>2467657</v>
      </c>
      <c r="AW5" s="236">
        <v>616956</v>
      </c>
      <c r="AX5" s="114">
        <v>1181197</v>
      </c>
      <c r="AY5" s="114">
        <v>0</v>
      </c>
      <c r="AZ5" s="114"/>
      <c r="BA5" s="241">
        <v>427743775</v>
      </c>
      <c r="BB5" s="241">
        <v>787983865</v>
      </c>
      <c r="BC5" s="236">
        <v>4099923</v>
      </c>
      <c r="BD5" s="114">
        <v>10386612</v>
      </c>
      <c r="BE5" s="241">
        <v>1757743</v>
      </c>
      <c r="BF5" s="114">
        <v>1625235</v>
      </c>
      <c r="BG5" s="247">
        <v>1906497</v>
      </c>
      <c r="BH5" s="114">
        <v>1616604</v>
      </c>
      <c r="BI5" s="241">
        <v>200544000</v>
      </c>
      <c r="BJ5" s="114">
        <v>234784000</v>
      </c>
      <c r="BK5" s="114">
        <v>5883323</v>
      </c>
      <c r="BL5" s="114">
        <v>5898474</v>
      </c>
      <c r="BM5" s="305">
        <v>2166114</v>
      </c>
      <c r="BN5" s="305">
        <v>2539953</v>
      </c>
      <c r="BO5" s="114">
        <v>1181197</v>
      </c>
      <c r="BP5" s="114">
        <v>1730395</v>
      </c>
      <c r="BQ5" s="300">
        <v>787983865</v>
      </c>
      <c r="BR5" s="300">
        <v>1109970706</v>
      </c>
      <c r="BS5" s="114">
        <v>10386612</v>
      </c>
      <c r="BT5" s="114">
        <v>19000038</v>
      </c>
      <c r="BU5" s="114">
        <v>1625235</v>
      </c>
      <c r="BV5" s="114">
        <v>1590002</v>
      </c>
      <c r="BW5" s="114">
        <v>1616604</v>
      </c>
      <c r="BX5" s="114">
        <v>2715332</v>
      </c>
      <c r="BY5" s="114">
        <v>234784000</v>
      </c>
      <c r="BZ5" s="114">
        <v>395860000</v>
      </c>
      <c r="CA5" s="405">
        <v>5898474</v>
      </c>
      <c r="CB5" s="405">
        <v>10465975</v>
      </c>
      <c r="CC5" s="406">
        <v>2539953</v>
      </c>
      <c r="CD5" s="406">
        <v>2809319</v>
      </c>
      <c r="CE5" s="405">
        <v>1845315</v>
      </c>
      <c r="CF5" s="405">
        <v>1411393</v>
      </c>
      <c r="CG5" s="407">
        <v>95945830</v>
      </c>
      <c r="CH5" s="407">
        <v>154182600</v>
      </c>
      <c r="CI5" s="405">
        <v>19000038</v>
      </c>
      <c r="CJ5" s="405">
        <v>19739234</v>
      </c>
      <c r="CK5" s="405">
        <v>1590002</v>
      </c>
      <c r="CL5" s="405"/>
      <c r="CM5" s="405">
        <v>2715332</v>
      </c>
      <c r="CN5" s="405">
        <v>1094053</v>
      </c>
      <c r="CO5" s="405">
        <v>405782000</v>
      </c>
      <c r="CP5" s="405">
        <v>380132000</v>
      </c>
      <c r="CQ5" s="114">
        <v>10471554</v>
      </c>
      <c r="CR5" s="114">
        <v>10562706</v>
      </c>
      <c r="CS5" s="114">
        <v>2287824</v>
      </c>
      <c r="CT5" s="114">
        <v>2460596</v>
      </c>
      <c r="CU5" s="114">
        <v>1411393</v>
      </c>
      <c r="CV5" s="114">
        <v>1961455</v>
      </c>
      <c r="CW5" s="457">
        <v>154182600</v>
      </c>
      <c r="CX5" s="114">
        <v>229054031</v>
      </c>
      <c r="CY5" s="114">
        <v>17444834</v>
      </c>
      <c r="CZ5" s="114">
        <v>16118929</v>
      </c>
      <c r="DA5" s="114"/>
      <c r="DB5" s="114">
        <v>1558117</v>
      </c>
      <c r="DC5" s="114">
        <v>1094053</v>
      </c>
      <c r="DD5" s="114">
        <v>2362342</v>
      </c>
      <c r="DE5" s="114">
        <v>380132000</v>
      </c>
      <c r="DF5" s="114">
        <v>335587000</v>
      </c>
      <c r="DG5" s="114">
        <v>10920086</v>
      </c>
      <c r="DH5" s="114">
        <v>7003195</v>
      </c>
      <c r="DI5" s="114">
        <v>2460596</v>
      </c>
      <c r="DJ5" s="114">
        <v>2334043</v>
      </c>
      <c r="DK5" s="114">
        <v>1961455</v>
      </c>
      <c r="DL5" s="114">
        <v>1638279</v>
      </c>
      <c r="DM5" s="470">
        <v>229054031</v>
      </c>
      <c r="DN5" s="114">
        <v>420800227</v>
      </c>
      <c r="DO5" s="114">
        <v>16118929</v>
      </c>
      <c r="DP5" s="114">
        <v>17963254</v>
      </c>
      <c r="DQ5" s="114">
        <v>1558117</v>
      </c>
      <c r="DR5" s="114"/>
      <c r="DS5" s="114">
        <v>2362342</v>
      </c>
      <c r="DT5" s="114"/>
      <c r="DU5" s="114">
        <v>335587000</v>
      </c>
      <c r="DV5" s="114">
        <v>462301224</v>
      </c>
      <c r="DW5" s="438">
        <v>8563522</v>
      </c>
      <c r="DX5" s="438">
        <v>7003195</v>
      </c>
      <c r="DY5" s="438">
        <v>2334043</v>
      </c>
      <c r="DZ5" s="438">
        <v>1884608</v>
      </c>
      <c r="EA5" s="438">
        <v>1638280</v>
      </c>
      <c r="EB5" s="438">
        <v>1854833</v>
      </c>
      <c r="EC5" s="438">
        <v>420800227</v>
      </c>
      <c r="ED5" s="438">
        <v>580423531</v>
      </c>
      <c r="EE5" s="438">
        <v>17963253</v>
      </c>
      <c r="EF5" s="438">
        <v>15176497</v>
      </c>
      <c r="EG5" s="438"/>
      <c r="EH5" s="438"/>
      <c r="EI5" s="438"/>
      <c r="EJ5" s="438"/>
      <c r="EK5" s="438">
        <v>460479618</v>
      </c>
      <c r="EL5" s="814">
        <v>534887763</v>
      </c>
      <c r="EM5" s="658">
        <v>1938159</v>
      </c>
      <c r="EN5" s="658">
        <v>2339706</v>
      </c>
      <c r="EO5" s="658">
        <v>8360039</v>
      </c>
      <c r="EP5" s="658">
        <v>10481774</v>
      </c>
      <c r="EQ5" s="658">
        <v>596937901</v>
      </c>
      <c r="ER5" s="658">
        <v>1030592164</v>
      </c>
      <c r="ES5" s="658">
        <v>17247319</v>
      </c>
      <c r="ET5" s="658">
        <v>26265106</v>
      </c>
      <c r="EU5" s="606">
        <v>16047397</v>
      </c>
      <c r="EV5" s="606">
        <v>35889137</v>
      </c>
      <c r="EW5" s="606">
        <v>711628508</v>
      </c>
      <c r="EX5" s="606">
        <v>897828093</v>
      </c>
      <c r="EY5" s="836">
        <v>53695125179</v>
      </c>
      <c r="EZ5" s="836">
        <v>32670695494</v>
      </c>
      <c r="FA5" s="836">
        <v>3246723512</v>
      </c>
      <c r="FB5" s="836">
        <v>5529238894</v>
      </c>
      <c r="FC5" s="836">
        <v>12080158900</v>
      </c>
      <c r="FD5" s="836">
        <v>18014805186</v>
      </c>
      <c r="FE5" s="836">
        <v>1437916450</v>
      </c>
      <c r="FF5" s="836">
        <v>2528323057</v>
      </c>
      <c r="FG5" s="836">
        <v>32736437156</v>
      </c>
      <c r="FH5" s="836">
        <v>36695673598</v>
      </c>
      <c r="FI5" s="836">
        <v>1817355765</v>
      </c>
      <c r="FJ5" s="838">
        <v>1067221080</v>
      </c>
      <c r="FK5" s="637">
        <v>1067221080000</v>
      </c>
      <c r="FL5" s="638">
        <v>757471155000</v>
      </c>
      <c r="FM5" s="637">
        <v>2528323057000</v>
      </c>
      <c r="FN5" s="638">
        <v>1442724890000</v>
      </c>
      <c r="FO5" s="637">
        <v>18014805186</v>
      </c>
      <c r="FP5" s="638">
        <v>17864050089</v>
      </c>
    </row>
    <row r="6" spans="1:172" x14ac:dyDescent="0.25">
      <c r="A6" s="69" t="s">
        <v>8</v>
      </c>
      <c r="B6" s="175">
        <v>1628448.4650000001</v>
      </c>
      <c r="C6" s="114">
        <v>1715878.12</v>
      </c>
      <c r="D6" s="152">
        <v>1392625.0859999999</v>
      </c>
      <c r="E6" s="152">
        <v>835233</v>
      </c>
      <c r="F6" s="115">
        <v>682942</v>
      </c>
      <c r="G6" s="114">
        <v>177477</v>
      </c>
      <c r="H6" s="152">
        <v>188982</v>
      </c>
      <c r="I6" s="152">
        <v>192564</v>
      </c>
      <c r="J6" s="114">
        <v>154858.17800000001</v>
      </c>
      <c r="K6" s="114">
        <v>92242.116999999998</v>
      </c>
      <c r="L6" s="152">
        <v>92242.116999999998</v>
      </c>
      <c r="M6" s="152">
        <v>7118</v>
      </c>
      <c r="N6" s="115">
        <v>440936</v>
      </c>
      <c r="O6" s="114">
        <v>0</v>
      </c>
      <c r="P6" s="114">
        <v>2128839</v>
      </c>
      <c r="Q6" s="114">
        <v>3154777</v>
      </c>
      <c r="R6" s="114">
        <v>366324</v>
      </c>
      <c r="S6" s="114"/>
      <c r="T6" s="152">
        <v>2813256</v>
      </c>
      <c r="U6" s="121">
        <v>13766862</v>
      </c>
      <c r="V6" s="152">
        <v>10284407</v>
      </c>
      <c r="W6" s="152">
        <v>9767125</v>
      </c>
      <c r="X6" s="145">
        <v>9152233</v>
      </c>
      <c r="Y6" s="175">
        <v>10558086</v>
      </c>
      <c r="Z6" s="114">
        <v>10227.594999999999</v>
      </c>
      <c r="AA6" s="152">
        <v>9429656</v>
      </c>
      <c r="AB6" s="152">
        <v>13264158</v>
      </c>
      <c r="AC6" s="115">
        <v>13818104</v>
      </c>
      <c r="AD6" s="114">
        <v>0</v>
      </c>
      <c r="AE6" s="114">
        <v>1339841.8219999999</v>
      </c>
      <c r="AF6" s="166">
        <v>1307854.861</v>
      </c>
      <c r="AG6" s="152">
        <v>1220570</v>
      </c>
      <c r="AH6" s="152">
        <v>1150441</v>
      </c>
      <c r="AI6" s="145">
        <v>0</v>
      </c>
      <c r="AJ6" s="114">
        <v>136947.64000000001</v>
      </c>
      <c r="AK6" s="186">
        <v>67367.64</v>
      </c>
      <c r="AL6" s="152">
        <v>86367</v>
      </c>
      <c r="AM6" s="145">
        <v>86367</v>
      </c>
      <c r="AN6" s="175">
        <v>14140000</v>
      </c>
      <c r="AO6" s="114">
        <v>9149000</v>
      </c>
      <c r="AP6" s="116">
        <v>9058000</v>
      </c>
      <c r="AQ6" s="145">
        <v>7705000</v>
      </c>
      <c r="AR6" s="145">
        <v>19607000</v>
      </c>
      <c r="AS6" s="236">
        <v>682942</v>
      </c>
      <c r="AT6" s="114">
        <v>1478502</v>
      </c>
      <c r="AU6" s="247">
        <v>192564</v>
      </c>
      <c r="AV6" s="247">
        <v>297910</v>
      </c>
      <c r="AW6" s="236">
        <v>440936</v>
      </c>
      <c r="AX6" s="114">
        <v>420674</v>
      </c>
      <c r="AY6" s="114">
        <v>0</v>
      </c>
      <c r="AZ6" s="114"/>
      <c r="BA6" s="241">
        <v>9152233</v>
      </c>
      <c r="BB6" s="241">
        <v>7494422</v>
      </c>
      <c r="BC6" s="236">
        <v>13818104</v>
      </c>
      <c r="BD6" s="114">
        <v>13664860</v>
      </c>
      <c r="BE6" s="241">
        <v>86367</v>
      </c>
      <c r="BF6" s="114">
        <v>74878</v>
      </c>
      <c r="BG6" s="247">
        <v>1150441</v>
      </c>
      <c r="BH6" s="114">
        <v>2852931</v>
      </c>
      <c r="BI6" s="241">
        <v>19607000</v>
      </c>
      <c r="BJ6" s="114">
        <v>190689000</v>
      </c>
      <c r="BK6" s="114">
        <v>1478502</v>
      </c>
      <c r="BL6" s="114">
        <v>1227697</v>
      </c>
      <c r="BM6" s="305">
        <v>297910</v>
      </c>
      <c r="BN6" s="305">
        <v>339634</v>
      </c>
      <c r="BO6" s="114">
        <v>420674</v>
      </c>
      <c r="BP6" s="114">
        <v>5276240</v>
      </c>
      <c r="BQ6" s="300">
        <v>7494422</v>
      </c>
      <c r="BR6" s="300">
        <v>6894496</v>
      </c>
      <c r="BS6" s="114">
        <v>13664860</v>
      </c>
      <c r="BT6" s="114">
        <v>10688332</v>
      </c>
      <c r="BU6" s="114">
        <v>74878</v>
      </c>
      <c r="BV6" s="114">
        <v>74878</v>
      </c>
      <c r="BW6" s="114">
        <v>2852931</v>
      </c>
      <c r="BX6" s="114">
        <v>5852157</v>
      </c>
      <c r="BY6" s="114">
        <v>190689000</v>
      </c>
      <c r="BZ6" s="114">
        <v>768389000</v>
      </c>
      <c r="CA6" s="405">
        <v>1227697</v>
      </c>
      <c r="CB6" s="405">
        <v>1033184</v>
      </c>
      <c r="CC6" s="406">
        <v>339634</v>
      </c>
      <c r="CD6" s="406">
        <v>345909</v>
      </c>
      <c r="CE6" s="405">
        <v>5276240</v>
      </c>
      <c r="CF6" s="405">
        <v>6611166</v>
      </c>
      <c r="CG6" s="407">
        <v>9258373</v>
      </c>
      <c r="CH6" s="407">
        <v>10168812</v>
      </c>
      <c r="CI6" s="405">
        <v>10688332</v>
      </c>
      <c r="CJ6" s="405">
        <v>10988965</v>
      </c>
      <c r="CK6" s="405">
        <v>74878</v>
      </c>
      <c r="CL6" s="405"/>
      <c r="CM6" s="405">
        <v>5852157</v>
      </c>
      <c r="CN6" s="405">
        <f>1697562+4451616-1060613</f>
        <v>5088565</v>
      </c>
      <c r="CO6" s="405">
        <v>924880000</v>
      </c>
      <c r="CP6" s="405">
        <v>1571853000</v>
      </c>
      <c r="CQ6" s="114">
        <v>1033184</v>
      </c>
      <c r="CR6" s="114">
        <v>1961816</v>
      </c>
      <c r="CS6" s="114">
        <v>1552305</v>
      </c>
      <c r="CT6" s="114">
        <v>716685</v>
      </c>
      <c r="CU6" s="114">
        <v>7388427</v>
      </c>
      <c r="CV6" s="114">
        <v>6341253</v>
      </c>
      <c r="CW6" s="457">
        <v>10168812</v>
      </c>
      <c r="CX6" s="114">
        <v>7745284</v>
      </c>
      <c r="CY6" s="114">
        <v>39396059</v>
      </c>
      <c r="CZ6" s="114">
        <v>40195993</v>
      </c>
      <c r="DA6" s="114"/>
      <c r="DB6" s="114">
        <v>106975</v>
      </c>
      <c r="DC6" s="114">
        <v>6758162</v>
      </c>
      <c r="DD6" s="114">
        <v>4957633</v>
      </c>
      <c r="DE6" s="114">
        <v>1571853000</v>
      </c>
      <c r="DF6" s="114">
        <v>1472529000</v>
      </c>
      <c r="DG6" s="114">
        <v>5164933</v>
      </c>
      <c r="DH6" s="114">
        <v>14406873</v>
      </c>
      <c r="DI6" s="114">
        <v>716685</v>
      </c>
      <c r="DJ6" s="114">
        <v>712543</v>
      </c>
      <c r="DK6" s="114">
        <v>6341253</v>
      </c>
      <c r="DL6" s="114">
        <v>5550717</v>
      </c>
      <c r="DM6" s="470">
        <v>7745284</v>
      </c>
      <c r="DN6" s="114">
        <v>6112092</v>
      </c>
      <c r="DO6" s="114">
        <v>40195993</v>
      </c>
      <c r="DP6" s="114">
        <v>42650894</v>
      </c>
      <c r="DQ6" s="114">
        <v>106975</v>
      </c>
      <c r="DR6" s="114"/>
      <c r="DS6" s="114">
        <v>4957633</v>
      </c>
      <c r="DT6" s="114"/>
      <c r="DU6" s="114">
        <v>1472529000</v>
      </c>
      <c r="DV6" s="114">
        <v>1314657064</v>
      </c>
      <c r="DW6" s="438">
        <v>12576687</v>
      </c>
      <c r="DX6" s="438">
        <v>14406873</v>
      </c>
      <c r="DY6" s="438">
        <v>712543</v>
      </c>
      <c r="DZ6" s="438">
        <v>550720</v>
      </c>
      <c r="EA6" s="438">
        <v>5550717</v>
      </c>
      <c r="EB6" s="438">
        <v>4781937</v>
      </c>
      <c r="EC6" s="438">
        <v>6112092</v>
      </c>
      <c r="ED6" s="438">
        <v>4614578</v>
      </c>
      <c r="EE6" s="438">
        <v>42650895</v>
      </c>
      <c r="EF6" s="438">
        <v>44750676</v>
      </c>
      <c r="EG6" s="438"/>
      <c r="EH6" s="438"/>
      <c r="EI6" s="438"/>
      <c r="EJ6" s="438"/>
      <c r="EK6" s="438">
        <v>1314657064</v>
      </c>
      <c r="EL6" s="814">
        <v>1482795046</v>
      </c>
      <c r="EM6" s="658">
        <v>9896268</v>
      </c>
      <c r="EN6" s="658">
        <v>8875371</v>
      </c>
      <c r="EO6" s="658">
        <v>15340001</v>
      </c>
      <c r="EP6" s="658">
        <v>13854428</v>
      </c>
      <c r="EQ6" s="658">
        <v>5725088</v>
      </c>
      <c r="ER6" s="658">
        <v>589730806</v>
      </c>
      <c r="ES6" s="658">
        <v>49703390</v>
      </c>
      <c r="ET6" s="658">
        <v>53383328</v>
      </c>
      <c r="EU6" s="606">
        <v>3792116</v>
      </c>
      <c r="EV6" s="606">
        <v>3329358</v>
      </c>
      <c r="EW6" s="606">
        <v>1833535621</v>
      </c>
      <c r="EX6" s="606">
        <v>2049775106</v>
      </c>
      <c r="EY6" s="836">
        <f>6476409483+1</f>
        <v>6476409484</v>
      </c>
      <c r="EZ6" s="836">
        <v>5733852179</v>
      </c>
      <c r="FA6" s="836">
        <v>7954793048</v>
      </c>
      <c r="FB6" s="836">
        <v>6439669105</v>
      </c>
      <c r="FC6" s="836">
        <v>31317198741</v>
      </c>
      <c r="FD6" s="836">
        <v>39607641642</v>
      </c>
      <c r="FE6" s="836">
        <v>478376423</v>
      </c>
      <c r="FF6" s="836">
        <v>536910300</v>
      </c>
      <c r="FG6" s="836">
        <v>57845661099</v>
      </c>
      <c r="FH6" s="836">
        <v>58824592796</v>
      </c>
      <c r="FI6" s="836">
        <v>828435282</v>
      </c>
      <c r="FJ6" s="838">
        <v>1597123797</v>
      </c>
      <c r="FK6" s="638">
        <v>1597123797000</v>
      </c>
      <c r="FL6" s="638">
        <v>1624207800000</v>
      </c>
      <c r="FM6" s="638">
        <v>536910300000</v>
      </c>
      <c r="FN6" s="638">
        <v>411679019000</v>
      </c>
      <c r="FO6" s="638">
        <v>39607641642</v>
      </c>
      <c r="FP6" s="638">
        <v>85462471177</v>
      </c>
    </row>
    <row r="7" spans="1:172" ht="15.75" thickBot="1" x14ac:dyDescent="0.3">
      <c r="A7" s="69" t="s">
        <v>9</v>
      </c>
      <c r="B7" s="175">
        <v>3163126.9279999998</v>
      </c>
      <c r="C7" s="114">
        <v>3165844.9909999999</v>
      </c>
      <c r="D7" s="152">
        <v>3206994.8990000002</v>
      </c>
      <c r="E7" s="152">
        <v>5116788</v>
      </c>
      <c r="F7" s="115">
        <v>5740292</v>
      </c>
      <c r="G7" s="114">
        <v>201015</v>
      </c>
      <c r="H7" s="152"/>
      <c r="I7" s="152"/>
      <c r="J7" s="114">
        <v>0</v>
      </c>
      <c r="K7" s="114">
        <v>0</v>
      </c>
      <c r="L7" s="152">
        <v>0</v>
      </c>
      <c r="M7" s="152"/>
      <c r="N7" s="115">
        <v>66955</v>
      </c>
      <c r="O7" s="114">
        <v>0</v>
      </c>
      <c r="P7" s="114">
        <v>0</v>
      </c>
      <c r="Q7" s="114">
        <v>0</v>
      </c>
      <c r="R7" s="114">
        <v>2718282</v>
      </c>
      <c r="S7" s="114"/>
      <c r="T7" s="152">
        <v>0</v>
      </c>
      <c r="U7" s="121">
        <v>0</v>
      </c>
      <c r="V7" s="152">
        <v>0</v>
      </c>
      <c r="W7" s="152">
        <v>4596785</v>
      </c>
      <c r="X7" s="145">
        <v>2082480</v>
      </c>
      <c r="Y7" s="175">
        <v>21795020</v>
      </c>
      <c r="Z7" s="114">
        <v>17813.121999999999</v>
      </c>
      <c r="AA7" s="152">
        <v>26798945</v>
      </c>
      <c r="AB7" s="152">
        <v>25855994</v>
      </c>
      <c r="AC7" s="115">
        <v>20258788</v>
      </c>
      <c r="AD7" s="114">
        <v>0</v>
      </c>
      <c r="AE7" s="114">
        <v>0</v>
      </c>
      <c r="AF7" s="166">
        <v>0</v>
      </c>
      <c r="AG7" s="152">
        <v>0</v>
      </c>
      <c r="AH7" s="152">
        <v>237977</v>
      </c>
      <c r="AI7" s="145">
        <v>0</v>
      </c>
      <c r="AJ7" s="114">
        <v>0</v>
      </c>
      <c r="AK7" s="186">
        <v>0</v>
      </c>
      <c r="AL7" s="152">
        <v>0</v>
      </c>
      <c r="AM7" s="145">
        <v>0</v>
      </c>
      <c r="AN7" s="175">
        <v>61621000</v>
      </c>
      <c r="AO7" s="114">
        <v>94466000</v>
      </c>
      <c r="AP7" s="152">
        <v>81893000</v>
      </c>
      <c r="AQ7" s="145">
        <v>104134000</v>
      </c>
      <c r="AR7" s="145">
        <v>165679000</v>
      </c>
      <c r="AS7" s="236">
        <v>5740292</v>
      </c>
      <c r="AT7" s="114">
        <v>4864822</v>
      </c>
      <c r="AU7" s="247"/>
      <c r="AV7" s="247">
        <v>267908</v>
      </c>
      <c r="AW7" s="236">
        <v>66955</v>
      </c>
      <c r="AX7" s="114">
        <v>99574</v>
      </c>
      <c r="AY7" s="114">
        <v>0</v>
      </c>
      <c r="AZ7" s="114">
        <v>0</v>
      </c>
      <c r="BA7" s="241">
        <v>2082480</v>
      </c>
      <c r="BB7" s="241">
        <v>557758</v>
      </c>
      <c r="BC7" s="236">
        <v>20258788</v>
      </c>
      <c r="BD7" s="114">
        <v>20148711</v>
      </c>
      <c r="BE7" s="241">
        <v>0</v>
      </c>
      <c r="BF7" s="114">
        <v>0</v>
      </c>
      <c r="BG7" s="247">
        <v>237977</v>
      </c>
      <c r="BH7" s="114"/>
      <c r="BI7" s="241">
        <v>165679000</v>
      </c>
      <c r="BJ7" s="114">
        <v>184545000</v>
      </c>
      <c r="BK7" s="124">
        <v>4864822</v>
      </c>
      <c r="BL7" s="124">
        <v>4644662</v>
      </c>
      <c r="BM7" s="307">
        <v>93536</v>
      </c>
      <c r="BN7" s="307">
        <v>313206</v>
      </c>
      <c r="BO7" s="124">
        <v>99574</v>
      </c>
      <c r="BP7" s="124">
        <v>266145</v>
      </c>
      <c r="BQ7" s="302">
        <v>557758</v>
      </c>
      <c r="BR7" s="302">
        <v>599311</v>
      </c>
      <c r="BS7" s="124">
        <v>20148711</v>
      </c>
      <c r="BT7" s="124">
        <v>18271436</v>
      </c>
      <c r="BU7" s="124">
        <v>0</v>
      </c>
      <c r="BV7" s="124">
        <v>0</v>
      </c>
      <c r="BW7" s="124"/>
      <c r="BX7" s="124">
        <v>122227</v>
      </c>
      <c r="BY7" s="124">
        <v>184545000</v>
      </c>
      <c r="BZ7" s="124">
        <v>299480000</v>
      </c>
      <c r="CA7" s="408">
        <v>4644662</v>
      </c>
      <c r="CB7" s="408">
        <f>669443+3309117</f>
        <v>3978560</v>
      </c>
      <c r="CC7" s="409">
        <v>313206</v>
      </c>
      <c r="CD7" s="409"/>
      <c r="CE7" s="408">
        <v>1740</v>
      </c>
      <c r="CF7" s="408"/>
      <c r="CG7" s="410">
        <f>472344+2457480+8968+612088</f>
        <v>3550880</v>
      </c>
      <c r="CH7" s="410">
        <f>472344+3692113+7732+1059583</f>
        <v>5231772</v>
      </c>
      <c r="CI7" s="408">
        <v>18271436</v>
      </c>
      <c r="CJ7" s="408">
        <f>5271768+151722+10751786</f>
        <v>16175276</v>
      </c>
      <c r="CK7" s="408">
        <v>0</v>
      </c>
      <c r="CL7" s="408">
        <v>0</v>
      </c>
      <c r="CM7" s="408">
        <v>122227</v>
      </c>
      <c r="CN7" s="408">
        <f>3995+86682+56639+37314+28587+1800000-343620+64266</f>
        <v>1733863</v>
      </c>
      <c r="CO7" s="408">
        <f>18388000+52048000+3151000+152029000+7000+6053000</f>
        <v>231676000</v>
      </c>
      <c r="CP7" s="408">
        <f>21032000+102020000+7159000+200133000+3000+17108000</f>
        <v>347455000</v>
      </c>
      <c r="CQ7" s="124">
        <v>3978560</v>
      </c>
      <c r="CR7" s="124">
        <v>4257830</v>
      </c>
      <c r="CS7" s="124">
        <v>214000</v>
      </c>
      <c r="CT7" s="124">
        <v>377000</v>
      </c>
      <c r="CU7" s="124"/>
      <c r="CV7" s="124"/>
      <c r="CW7" s="458">
        <v>5231772</v>
      </c>
      <c r="CX7" s="124">
        <v>3565605</v>
      </c>
      <c r="CY7" s="124"/>
      <c r="CZ7" s="124">
        <v>5525000</v>
      </c>
      <c r="DA7" s="124"/>
      <c r="DB7" s="124"/>
      <c r="DC7" s="124"/>
      <c r="DD7" s="124"/>
      <c r="DE7" s="124">
        <v>330347000</v>
      </c>
      <c r="DF7" s="124">
        <v>371469000</v>
      </c>
      <c r="DG7" s="124">
        <v>880951</v>
      </c>
      <c r="DH7" s="124">
        <v>84569</v>
      </c>
      <c r="DI7" s="124">
        <v>377000</v>
      </c>
      <c r="DJ7" s="124">
        <v>377000</v>
      </c>
      <c r="DK7" s="124"/>
      <c r="DL7" s="124">
        <v>1668</v>
      </c>
      <c r="DM7" s="471">
        <v>3565605</v>
      </c>
      <c r="DN7" s="124">
        <v>2913384</v>
      </c>
      <c r="DO7" s="124">
        <v>5525000</v>
      </c>
      <c r="DP7" s="124">
        <v>5525000</v>
      </c>
      <c r="DQ7" s="124"/>
      <c r="DR7" s="124"/>
      <c r="DS7" s="124"/>
      <c r="DT7" s="124"/>
      <c r="DU7" s="124">
        <v>371469000</v>
      </c>
      <c r="DV7" s="124">
        <v>406277144</v>
      </c>
      <c r="DW7" s="438">
        <v>621997</v>
      </c>
      <c r="DX7" s="438">
        <v>84569</v>
      </c>
      <c r="DY7" s="438">
        <f>1089543-DY6</f>
        <v>377000</v>
      </c>
      <c r="DZ7" s="438">
        <f>1707720-DZ6</f>
        <v>1157000</v>
      </c>
      <c r="EA7" s="438">
        <v>1667</v>
      </c>
      <c r="EB7" s="438"/>
      <c r="EC7" s="438">
        <f>9025476-EC6</f>
        <v>2913384</v>
      </c>
      <c r="ED7" s="438">
        <f>6576149-ED6</f>
        <v>1961571</v>
      </c>
      <c r="EE7" s="438">
        <f>48175894-EE6</f>
        <v>5524999</v>
      </c>
      <c r="EF7" s="438">
        <f>50330441-EF6</f>
        <v>5579765</v>
      </c>
      <c r="EG7" s="438"/>
      <c r="EH7" s="438"/>
      <c r="EI7" s="438"/>
      <c r="EJ7" s="438"/>
      <c r="EK7" s="438">
        <f>1722755814-EK6</f>
        <v>408098750</v>
      </c>
      <c r="EL7" s="814">
        <f>1965201176-EL6</f>
        <v>482406130</v>
      </c>
      <c r="EM7" s="605"/>
      <c r="EN7" s="605"/>
      <c r="EO7" s="605"/>
      <c r="EP7" s="605"/>
      <c r="EQ7" s="605"/>
      <c r="ER7" s="605"/>
      <c r="ES7" s="605"/>
      <c r="ET7" s="605"/>
      <c r="EU7" s="605"/>
      <c r="EV7" s="605"/>
      <c r="EW7" s="605"/>
      <c r="EX7" s="605"/>
      <c r="EY7" s="605"/>
      <c r="EZ7" s="605"/>
      <c r="FA7" s="605"/>
      <c r="FB7" s="605"/>
      <c r="FC7" s="605"/>
      <c r="FD7" s="605"/>
      <c r="FE7" s="605"/>
      <c r="FF7" s="605"/>
      <c r="FG7" s="605"/>
      <c r="FH7" s="605"/>
      <c r="FI7" s="605"/>
      <c r="FJ7" s="616"/>
      <c r="FK7" s="605"/>
      <c r="FL7" s="605"/>
      <c r="FM7" s="605"/>
      <c r="FN7" s="605"/>
      <c r="FO7" s="605"/>
      <c r="FP7" s="605"/>
    </row>
    <row r="8" spans="1:172" ht="15.75" thickBot="1" x14ac:dyDescent="0.3">
      <c r="A8" s="71" t="s">
        <v>10</v>
      </c>
      <c r="B8" s="176">
        <v>11217759.351</v>
      </c>
      <c r="C8" s="118">
        <v>10217986.367000001</v>
      </c>
      <c r="D8" s="153">
        <v>10268375.794</v>
      </c>
      <c r="E8" s="153">
        <v>11812979</v>
      </c>
      <c r="F8" s="119">
        <v>13193363</v>
      </c>
      <c r="G8" s="118">
        <v>1190084</v>
      </c>
      <c r="H8" s="153">
        <v>2357107</v>
      </c>
      <c r="I8" s="153">
        <v>2371138</v>
      </c>
      <c r="J8" s="118">
        <v>737364.68699999992</v>
      </c>
      <c r="K8" s="118">
        <v>762335.11699999997</v>
      </c>
      <c r="L8" s="153">
        <v>767139.92799999996</v>
      </c>
      <c r="M8" s="153">
        <v>802020</v>
      </c>
      <c r="N8" s="119">
        <v>1124847</v>
      </c>
      <c r="O8" s="118">
        <v>0</v>
      </c>
      <c r="P8" s="118">
        <v>6325897</v>
      </c>
      <c r="Q8" s="118">
        <v>8767962</v>
      </c>
      <c r="R8" s="118">
        <v>7637668</v>
      </c>
      <c r="S8" s="118">
        <v>0</v>
      </c>
      <c r="T8" s="153">
        <v>3412472</v>
      </c>
      <c r="U8" s="120">
        <v>17917698</v>
      </c>
      <c r="V8" s="153">
        <v>125062641</v>
      </c>
      <c r="W8" s="153">
        <v>419661957</v>
      </c>
      <c r="X8" s="146">
        <v>264435649</v>
      </c>
      <c r="Y8" s="176">
        <v>56902701</v>
      </c>
      <c r="Z8" s="118">
        <v>46366.152000000002</v>
      </c>
      <c r="AA8" s="153">
        <v>46484827</v>
      </c>
      <c r="AB8" s="153">
        <v>47978282</v>
      </c>
      <c r="AC8" s="119">
        <v>38176815</v>
      </c>
      <c r="AD8" s="118">
        <v>0</v>
      </c>
      <c r="AE8" s="118">
        <v>4164764.8219999997</v>
      </c>
      <c r="AF8" s="167">
        <v>3031286.483</v>
      </c>
      <c r="AG8" s="153">
        <v>4590106</v>
      </c>
      <c r="AH8" s="153">
        <v>3294915</v>
      </c>
      <c r="AI8" s="146">
        <v>0</v>
      </c>
      <c r="AJ8" s="118">
        <v>1307953.1919999998</v>
      </c>
      <c r="AK8" s="187">
        <v>1640083.3229999999</v>
      </c>
      <c r="AL8" s="153">
        <v>1866102</v>
      </c>
      <c r="AM8" s="146">
        <v>1844110</v>
      </c>
      <c r="AN8" s="176">
        <v>159874000</v>
      </c>
      <c r="AO8" s="118">
        <v>188019000</v>
      </c>
      <c r="AP8" s="153">
        <v>152867000</v>
      </c>
      <c r="AQ8" s="146">
        <v>213865000</v>
      </c>
      <c r="AR8" s="146">
        <v>385830000</v>
      </c>
      <c r="AS8" s="237">
        <v>13193363</v>
      </c>
      <c r="AT8" s="118">
        <v>12226647</v>
      </c>
      <c r="AU8" s="248">
        <v>2371138</v>
      </c>
      <c r="AV8" s="248">
        <v>3033475</v>
      </c>
      <c r="AW8" s="237">
        <v>1124847</v>
      </c>
      <c r="AX8" s="118">
        <v>1701445</v>
      </c>
      <c r="AY8" s="118">
        <v>0</v>
      </c>
      <c r="AZ8" s="118">
        <v>0</v>
      </c>
      <c r="BA8" s="242">
        <v>438978488</v>
      </c>
      <c r="BB8" s="242">
        <v>796036045</v>
      </c>
      <c r="BC8" s="237">
        <v>38176815</v>
      </c>
      <c r="BD8" s="118">
        <v>44200183</v>
      </c>
      <c r="BE8" s="242">
        <v>1844110</v>
      </c>
      <c r="BF8" s="118">
        <v>1700113</v>
      </c>
      <c r="BG8" s="248">
        <v>3294915</v>
      </c>
      <c r="BH8" s="118">
        <v>4469535</v>
      </c>
      <c r="BI8" s="242">
        <v>385830000</v>
      </c>
      <c r="BJ8" s="118">
        <v>610018000</v>
      </c>
      <c r="BK8" s="320">
        <v>12226647</v>
      </c>
      <c r="BL8" s="320">
        <v>11770833</v>
      </c>
      <c r="BM8" s="321">
        <v>2557560</v>
      </c>
      <c r="BN8" s="321">
        <v>3192793</v>
      </c>
      <c r="BO8" s="320">
        <v>1701445</v>
      </c>
      <c r="BP8" s="323">
        <v>7272780</v>
      </c>
      <c r="BQ8" s="322">
        <v>796036045</v>
      </c>
      <c r="BR8" s="322">
        <v>1117464513</v>
      </c>
      <c r="BS8" s="320">
        <v>44200183</v>
      </c>
      <c r="BT8" s="320">
        <v>47959806</v>
      </c>
      <c r="BU8" s="320">
        <v>1700113</v>
      </c>
      <c r="BV8" s="320">
        <v>1664880</v>
      </c>
      <c r="BW8" s="320">
        <v>4469535</v>
      </c>
      <c r="BX8" s="320">
        <v>8689716</v>
      </c>
      <c r="BY8" s="320">
        <v>610018000</v>
      </c>
      <c r="BZ8" s="320">
        <v>1463729000</v>
      </c>
      <c r="CA8" s="411">
        <v>11770833</v>
      </c>
      <c r="CB8" s="411">
        <f t="shared" ref="CB8:CP8" si="0">SUM(CB5:CB7)</f>
        <v>15477719</v>
      </c>
      <c r="CC8" s="412">
        <v>3192793</v>
      </c>
      <c r="CD8" s="412">
        <f t="shared" si="0"/>
        <v>3155228</v>
      </c>
      <c r="CE8" s="411">
        <f>SUM(CE5:CE7)</f>
        <v>7123295</v>
      </c>
      <c r="CF8" s="413">
        <f>SUM(CF5:CF7)</f>
        <v>8022559</v>
      </c>
      <c r="CG8" s="414">
        <f>SUM(CG5:CG7)</f>
        <v>108755083</v>
      </c>
      <c r="CH8" s="414">
        <f t="shared" si="0"/>
        <v>169583184</v>
      </c>
      <c r="CI8" s="411">
        <v>47959806</v>
      </c>
      <c r="CJ8" s="411">
        <f t="shared" si="0"/>
        <v>46903475</v>
      </c>
      <c r="CK8" s="411">
        <v>1664880</v>
      </c>
      <c r="CL8" s="411">
        <f t="shared" si="0"/>
        <v>0</v>
      </c>
      <c r="CM8" s="411">
        <v>8689716</v>
      </c>
      <c r="CN8" s="411">
        <f t="shared" si="0"/>
        <v>7916481</v>
      </c>
      <c r="CO8" s="411">
        <f>SUM(CO5:CO7)</f>
        <v>1562338000</v>
      </c>
      <c r="CP8" s="411">
        <f t="shared" si="0"/>
        <v>2299440000</v>
      </c>
      <c r="CQ8" s="320">
        <v>15483298</v>
      </c>
      <c r="CR8" s="320">
        <v>16782352</v>
      </c>
      <c r="CS8" s="320">
        <v>4054129</v>
      </c>
      <c r="CT8" s="320">
        <v>3554281</v>
      </c>
      <c r="CU8" s="320">
        <v>8799820</v>
      </c>
      <c r="CV8" s="320">
        <v>8302708</v>
      </c>
      <c r="CW8" s="459">
        <v>169583184</v>
      </c>
      <c r="CX8" s="320">
        <v>240364920</v>
      </c>
      <c r="CY8" s="320">
        <v>56840893</v>
      </c>
      <c r="CZ8" s="320">
        <v>61839922</v>
      </c>
      <c r="DA8" s="320">
        <v>0</v>
      </c>
      <c r="DB8" s="320">
        <v>1665092</v>
      </c>
      <c r="DC8" s="320">
        <v>7852215</v>
      </c>
      <c r="DD8" s="320">
        <v>7319975</v>
      </c>
      <c r="DE8" s="320">
        <v>2282332000</v>
      </c>
      <c r="DF8" s="320">
        <v>2179585000</v>
      </c>
      <c r="DG8" s="320">
        <v>16965970</v>
      </c>
      <c r="DH8" s="320">
        <v>21494637</v>
      </c>
      <c r="DI8" s="320">
        <v>3554281</v>
      </c>
      <c r="DJ8" s="320">
        <v>3423586</v>
      </c>
      <c r="DK8" s="320">
        <v>8302708</v>
      </c>
      <c r="DL8" s="320">
        <v>7190664</v>
      </c>
      <c r="DM8" s="472">
        <v>240364920</v>
      </c>
      <c r="DN8" s="320">
        <v>429825703</v>
      </c>
      <c r="DO8" s="320">
        <v>61839922</v>
      </c>
      <c r="DP8" s="320">
        <v>66139148</v>
      </c>
      <c r="DQ8" s="320">
        <v>1665092</v>
      </c>
      <c r="DR8" s="320">
        <v>0</v>
      </c>
      <c r="DS8" s="320">
        <v>7319975</v>
      </c>
      <c r="DT8" s="320">
        <v>0</v>
      </c>
      <c r="DU8" s="320">
        <v>2179585000</v>
      </c>
      <c r="DV8" s="320">
        <v>2183235432</v>
      </c>
      <c r="DW8" s="438">
        <f>+DW7+DW6+DW5</f>
        <v>21762206</v>
      </c>
      <c r="DX8" s="438">
        <f t="shared" ref="DX8:EL8" si="1">+DX7+DX6+DX5</f>
        <v>21494637</v>
      </c>
      <c r="DY8" s="438">
        <f t="shared" si="1"/>
        <v>3423586</v>
      </c>
      <c r="DZ8" s="438">
        <f t="shared" si="1"/>
        <v>3592328</v>
      </c>
      <c r="EA8" s="438">
        <f t="shared" si="1"/>
        <v>7190664</v>
      </c>
      <c r="EB8" s="438">
        <f t="shared" si="1"/>
        <v>6636770</v>
      </c>
      <c r="EC8" s="438">
        <f t="shared" si="1"/>
        <v>429825703</v>
      </c>
      <c r="ED8" s="438">
        <f t="shared" si="1"/>
        <v>586999680</v>
      </c>
      <c r="EE8" s="438">
        <f t="shared" si="1"/>
        <v>66139147</v>
      </c>
      <c r="EF8" s="438">
        <f t="shared" si="1"/>
        <v>65506938</v>
      </c>
      <c r="EG8" s="438">
        <f t="shared" si="1"/>
        <v>0</v>
      </c>
      <c r="EH8" s="438">
        <f t="shared" si="1"/>
        <v>0</v>
      </c>
      <c r="EI8" s="438">
        <f t="shared" si="1"/>
        <v>0</v>
      </c>
      <c r="EJ8" s="438">
        <f t="shared" si="1"/>
        <v>0</v>
      </c>
      <c r="EK8" s="438">
        <f t="shared" si="1"/>
        <v>2183235432</v>
      </c>
      <c r="EL8" s="814">
        <f t="shared" si="1"/>
        <v>2500088939</v>
      </c>
      <c r="EM8" s="605"/>
      <c r="EN8" s="605"/>
      <c r="EO8" s="605"/>
      <c r="EP8" s="605"/>
      <c r="EQ8" s="605"/>
      <c r="ER8" s="605"/>
      <c r="ES8" s="605"/>
      <c r="ET8" s="605"/>
      <c r="EU8" s="605"/>
      <c r="EV8" s="605"/>
      <c r="EW8" s="605"/>
      <c r="EX8" s="605"/>
      <c r="EY8" s="605"/>
      <c r="EZ8" s="605"/>
      <c r="FA8" s="605"/>
      <c r="FB8" s="605"/>
      <c r="FC8" s="605"/>
      <c r="FD8" s="605"/>
      <c r="FE8" s="605"/>
      <c r="FF8" s="605"/>
      <c r="FG8" s="605"/>
      <c r="FH8" s="605"/>
      <c r="FI8" s="605"/>
      <c r="FJ8" s="616"/>
      <c r="FK8" s="605"/>
      <c r="FL8" s="605"/>
      <c r="FM8" s="605"/>
      <c r="FN8" s="605"/>
      <c r="FO8" s="605"/>
      <c r="FP8" s="605"/>
    </row>
    <row r="9" spans="1:172" x14ac:dyDescent="0.25">
      <c r="A9" s="71" t="s">
        <v>11</v>
      </c>
      <c r="B9" s="175"/>
      <c r="C9" s="114"/>
      <c r="D9" s="153"/>
      <c r="E9" s="153"/>
      <c r="F9" s="119"/>
      <c r="G9" s="117"/>
      <c r="H9" s="153"/>
      <c r="I9" s="153"/>
      <c r="J9" s="117"/>
      <c r="K9" s="114"/>
      <c r="L9" s="153"/>
      <c r="M9" s="153"/>
      <c r="N9" s="119"/>
      <c r="O9" s="117"/>
      <c r="P9" s="117"/>
      <c r="Q9" s="117"/>
      <c r="R9" s="117"/>
      <c r="S9" s="117"/>
      <c r="T9" s="153"/>
      <c r="U9" s="121"/>
      <c r="V9" s="153"/>
      <c r="W9" s="153"/>
      <c r="X9" s="146"/>
      <c r="Y9" s="183"/>
      <c r="Z9" s="114"/>
      <c r="AA9" s="153"/>
      <c r="AB9" s="153"/>
      <c r="AC9" s="119"/>
      <c r="AD9" s="117"/>
      <c r="AE9" s="114"/>
      <c r="AF9" s="167"/>
      <c r="AG9" s="153"/>
      <c r="AH9" s="153"/>
      <c r="AI9" s="146"/>
      <c r="AJ9" s="114"/>
      <c r="AK9" s="187"/>
      <c r="AL9" s="153"/>
      <c r="AM9" s="146"/>
      <c r="AN9" s="175"/>
      <c r="AO9" s="114"/>
      <c r="AP9" s="153"/>
      <c r="AQ9" s="146"/>
      <c r="AR9" s="146"/>
      <c r="AS9" s="237"/>
      <c r="AT9" s="114"/>
      <c r="AU9" s="248"/>
      <c r="AV9" s="248"/>
      <c r="AW9" s="237"/>
      <c r="AX9" s="114"/>
      <c r="AY9" s="117"/>
      <c r="AZ9" s="117"/>
      <c r="BA9" s="242"/>
      <c r="BB9" s="242"/>
      <c r="BC9" s="237"/>
      <c r="BD9" s="114"/>
      <c r="BE9" s="242"/>
      <c r="BF9" s="114"/>
      <c r="BG9" s="248"/>
      <c r="BH9" s="114"/>
      <c r="BI9" s="242"/>
      <c r="BJ9" s="114"/>
      <c r="BK9" s="127"/>
      <c r="BL9" s="127"/>
      <c r="BM9" s="324"/>
      <c r="BN9" s="324"/>
      <c r="BO9" s="127"/>
      <c r="BP9" s="127"/>
      <c r="BQ9" s="325"/>
      <c r="BR9" s="325"/>
      <c r="BS9" s="127"/>
      <c r="BT9" s="127"/>
      <c r="BU9" s="127"/>
      <c r="BV9" s="127"/>
      <c r="BW9" s="127"/>
      <c r="BX9" s="127"/>
      <c r="BY9" s="127"/>
      <c r="BZ9" s="127"/>
      <c r="CA9" s="415"/>
      <c r="CB9" s="415"/>
      <c r="CC9" s="416"/>
      <c r="CD9" s="416"/>
      <c r="CE9" s="415"/>
      <c r="CF9" s="415"/>
      <c r="CG9" s="417"/>
      <c r="CH9" s="417"/>
      <c r="CI9" s="415"/>
      <c r="CJ9" s="415"/>
      <c r="CK9" s="415"/>
      <c r="CL9" s="415"/>
      <c r="CM9" s="415"/>
      <c r="CN9" s="415"/>
      <c r="CO9" s="415"/>
      <c r="CP9" s="415"/>
      <c r="CQ9" s="127"/>
      <c r="CR9" s="127"/>
      <c r="CS9" s="127"/>
      <c r="CT9" s="127"/>
      <c r="CU9" s="127"/>
      <c r="CV9" s="127"/>
      <c r="CW9" s="460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473"/>
      <c r="DN9" s="127"/>
      <c r="DO9" s="127"/>
      <c r="DP9" s="127"/>
      <c r="DQ9" s="127"/>
      <c r="DR9" s="127"/>
      <c r="DS9" s="127"/>
      <c r="DT9" s="127"/>
      <c r="DU9" s="127"/>
      <c r="DV9" s="127"/>
      <c r="DW9" s="441"/>
      <c r="DX9" s="441"/>
      <c r="DY9" s="441"/>
      <c r="DZ9" s="441"/>
      <c r="EA9" s="441"/>
      <c r="EB9" s="441"/>
      <c r="EC9" s="441"/>
      <c r="ED9" s="441"/>
      <c r="EE9" s="441"/>
      <c r="EF9" s="441"/>
      <c r="EG9" s="441"/>
      <c r="EH9" s="441"/>
      <c r="EI9" s="441"/>
      <c r="EJ9" s="441"/>
      <c r="EK9" s="441"/>
      <c r="EL9" s="815"/>
      <c r="EM9" s="605"/>
      <c r="EN9" s="605"/>
      <c r="EO9" s="605"/>
      <c r="EP9" s="605"/>
      <c r="EQ9" s="605"/>
      <c r="ER9" s="605"/>
      <c r="ES9" s="605"/>
      <c r="ET9" s="605"/>
      <c r="EU9" s="605"/>
      <c r="EV9" s="605"/>
      <c r="EW9" s="605"/>
      <c r="EX9" s="605"/>
      <c r="EY9" s="605"/>
      <c r="EZ9" s="605"/>
      <c r="FA9" s="605"/>
      <c r="FB9" s="605"/>
      <c r="FC9" s="605"/>
      <c r="FD9" s="605"/>
      <c r="FE9" s="605"/>
      <c r="FF9" s="605"/>
      <c r="FG9" s="605"/>
      <c r="FH9" s="605"/>
      <c r="FI9" s="605"/>
      <c r="FJ9" s="616"/>
      <c r="FK9" s="605"/>
      <c r="FL9" s="605"/>
      <c r="FM9" s="605"/>
      <c r="FN9" s="605"/>
      <c r="FO9" s="605"/>
      <c r="FP9" s="605"/>
    </row>
    <row r="10" spans="1:172" x14ac:dyDescent="0.25">
      <c r="A10" s="69" t="s">
        <v>12</v>
      </c>
      <c r="B10" s="175">
        <v>2869345.07</v>
      </c>
      <c r="C10" s="114">
        <v>1869779.71</v>
      </c>
      <c r="D10" s="152">
        <v>3299416.548</v>
      </c>
      <c r="E10" s="152">
        <v>5424392</v>
      </c>
      <c r="F10" s="115">
        <v>6238381</v>
      </c>
      <c r="G10" s="114">
        <v>278057</v>
      </c>
      <c r="H10" s="152">
        <v>628191</v>
      </c>
      <c r="I10" s="152">
        <v>454274</v>
      </c>
      <c r="J10" s="114">
        <v>1262.2619999999999</v>
      </c>
      <c r="K10" s="114">
        <v>12164.98</v>
      </c>
      <c r="L10" s="152">
        <v>4762.8519999999999</v>
      </c>
      <c r="M10" s="152">
        <v>35454</v>
      </c>
      <c r="N10" s="115">
        <v>255188</v>
      </c>
      <c r="O10" s="114">
        <v>0</v>
      </c>
      <c r="P10" s="114">
        <v>3930207</v>
      </c>
      <c r="Q10" s="114">
        <v>5099612</v>
      </c>
      <c r="R10" s="114">
        <v>7537421</v>
      </c>
      <c r="S10" s="114"/>
      <c r="T10" s="152">
        <v>1793128</v>
      </c>
      <c r="U10" s="121">
        <v>53920572</v>
      </c>
      <c r="V10" s="152">
        <v>122809271</v>
      </c>
      <c r="W10" s="152">
        <v>421022004</v>
      </c>
      <c r="X10" s="145">
        <v>258149197</v>
      </c>
      <c r="Y10" s="175">
        <v>11844078</v>
      </c>
      <c r="Z10" s="114">
        <v>7977.1059999999998</v>
      </c>
      <c r="AA10" s="152">
        <v>9238903</v>
      </c>
      <c r="AB10" s="152">
        <v>12775688</v>
      </c>
      <c r="AC10" s="115">
        <v>7085725</v>
      </c>
      <c r="AD10" s="114">
        <v>0</v>
      </c>
      <c r="AE10" s="114">
        <v>2538737.415</v>
      </c>
      <c r="AF10" s="166">
        <v>1369761.4739999999</v>
      </c>
      <c r="AG10" s="152">
        <v>1554517</v>
      </c>
      <c r="AH10" s="152">
        <v>1060516</v>
      </c>
      <c r="AI10" s="145">
        <v>0</v>
      </c>
      <c r="AJ10" s="114">
        <v>571061.78099999996</v>
      </c>
      <c r="AK10" s="186">
        <v>645648.40599999996</v>
      </c>
      <c r="AL10" s="152">
        <v>829058</v>
      </c>
      <c r="AM10" s="145">
        <v>780362</v>
      </c>
      <c r="AN10" s="175">
        <v>51119000</v>
      </c>
      <c r="AO10" s="114">
        <v>66135000</v>
      </c>
      <c r="AP10" s="152">
        <v>61253000</v>
      </c>
      <c r="AQ10" s="145">
        <v>117604000</v>
      </c>
      <c r="AR10" s="145">
        <v>251101000</v>
      </c>
      <c r="AS10" s="236">
        <v>6238381</v>
      </c>
      <c r="AT10" s="114">
        <v>4908415</v>
      </c>
      <c r="AU10" s="247">
        <v>454274</v>
      </c>
      <c r="AV10" s="247">
        <v>1041654</v>
      </c>
      <c r="AW10" s="236">
        <v>255188</v>
      </c>
      <c r="AX10" s="114">
        <v>660037</v>
      </c>
      <c r="AY10" s="114">
        <v>0</v>
      </c>
      <c r="AZ10" s="114"/>
      <c r="BA10" s="241">
        <v>432692036</v>
      </c>
      <c r="BB10" s="241">
        <v>794405964</v>
      </c>
      <c r="BC10" s="236">
        <v>7085725</v>
      </c>
      <c r="BD10" s="114">
        <v>7280441</v>
      </c>
      <c r="BE10" s="241">
        <v>780362</v>
      </c>
      <c r="BF10" s="114">
        <v>619964</v>
      </c>
      <c r="BG10" s="247">
        <v>1060516</v>
      </c>
      <c r="BH10" s="114">
        <v>1897977</v>
      </c>
      <c r="BI10" s="241">
        <v>251101000</v>
      </c>
      <c r="BJ10" s="114">
        <v>254113000</v>
      </c>
      <c r="BK10" s="114">
        <v>4908415</v>
      </c>
      <c r="BL10" s="114">
        <v>5089607</v>
      </c>
      <c r="BM10" s="305">
        <v>682708</v>
      </c>
      <c r="BN10" s="305">
        <v>1212407</v>
      </c>
      <c r="BO10" s="114">
        <v>660037</v>
      </c>
      <c r="BP10" s="114">
        <v>5331128</v>
      </c>
      <c r="BQ10" s="300">
        <v>794405964</v>
      </c>
      <c r="BR10" s="300">
        <v>1104446386</v>
      </c>
      <c r="BS10" s="114">
        <v>7280441</v>
      </c>
      <c r="BT10" s="114">
        <v>8957288</v>
      </c>
      <c r="BU10" s="114">
        <v>619964</v>
      </c>
      <c r="BV10" s="114">
        <v>539654</v>
      </c>
      <c r="BW10" s="114">
        <v>1897977</v>
      </c>
      <c r="BX10" s="114">
        <v>3212638</v>
      </c>
      <c r="BY10" s="114">
        <v>254113000</v>
      </c>
      <c r="BZ10" s="114">
        <v>496128000</v>
      </c>
      <c r="CA10" s="405">
        <v>5089607</v>
      </c>
      <c r="CB10" s="405">
        <v>4684342</v>
      </c>
      <c r="CC10" s="406">
        <v>1212407</v>
      </c>
      <c r="CD10" s="406">
        <v>1011315</v>
      </c>
      <c r="CE10" s="405">
        <v>2428575</v>
      </c>
      <c r="CF10" s="405">
        <v>2382560</v>
      </c>
      <c r="CG10" s="407">
        <v>92780952</v>
      </c>
      <c r="CH10" s="407">
        <v>148916891</v>
      </c>
      <c r="CI10" s="405">
        <v>8957288</v>
      </c>
      <c r="CJ10" s="405">
        <v>8744161</v>
      </c>
      <c r="CK10" s="405">
        <v>539654</v>
      </c>
      <c r="CL10" s="405"/>
      <c r="CM10" s="405">
        <v>3212638</v>
      </c>
      <c r="CN10" s="405">
        <v>2178866</v>
      </c>
      <c r="CO10" s="405">
        <v>499556000</v>
      </c>
      <c r="CP10" s="405">
        <v>717210000</v>
      </c>
      <c r="CQ10" s="114">
        <v>4689921</v>
      </c>
      <c r="CR10" s="114">
        <v>4251660</v>
      </c>
      <c r="CS10" s="114">
        <v>998860</v>
      </c>
      <c r="CT10" s="114">
        <v>773723</v>
      </c>
      <c r="CU10" s="114">
        <v>845627</v>
      </c>
      <c r="CV10" s="114">
        <v>1856511</v>
      </c>
      <c r="CW10" s="457">
        <v>148916891</v>
      </c>
      <c r="CX10" s="114">
        <v>223943377</v>
      </c>
      <c r="CY10" s="114">
        <v>8820118</v>
      </c>
      <c r="CZ10" s="114">
        <v>12493259</v>
      </c>
      <c r="DA10" s="114"/>
      <c r="DB10" s="114">
        <v>529892</v>
      </c>
      <c r="DC10" s="114">
        <v>2801146</v>
      </c>
      <c r="DD10" s="114">
        <v>2730838</v>
      </c>
      <c r="DE10" s="114">
        <v>717210000</v>
      </c>
      <c r="DF10" s="114">
        <v>605739000</v>
      </c>
      <c r="DG10" s="114">
        <v>4602990</v>
      </c>
      <c r="DH10" s="114">
        <v>12118011</v>
      </c>
      <c r="DI10" s="114">
        <v>773723</v>
      </c>
      <c r="DJ10" s="114">
        <v>743424</v>
      </c>
      <c r="DK10" s="114">
        <v>1856511</v>
      </c>
      <c r="DL10" s="114">
        <v>1562352</v>
      </c>
      <c r="DM10" s="470">
        <v>223943377</v>
      </c>
      <c r="DN10" s="114">
        <v>402334703</v>
      </c>
      <c r="DO10" s="114">
        <v>12493259</v>
      </c>
      <c r="DP10" s="114">
        <v>16800124</v>
      </c>
      <c r="DQ10" s="114">
        <v>529892</v>
      </c>
      <c r="DR10" s="114"/>
      <c r="DS10" s="114">
        <v>2730838</v>
      </c>
      <c r="DT10" s="114"/>
      <c r="DU10" s="114">
        <v>605739000</v>
      </c>
      <c r="DV10" s="114">
        <v>647622717</v>
      </c>
      <c r="DW10" s="438">
        <v>5598326</v>
      </c>
      <c r="DX10" s="438">
        <v>7382575</v>
      </c>
      <c r="DY10" s="438">
        <v>743424</v>
      </c>
      <c r="DZ10" s="438">
        <v>539824</v>
      </c>
      <c r="EA10" s="438">
        <v>1562352</v>
      </c>
      <c r="EB10" s="438">
        <v>1742040</v>
      </c>
      <c r="EC10" s="438">
        <v>402334703</v>
      </c>
      <c r="ED10" s="438">
        <v>555713399</v>
      </c>
      <c r="EE10" s="438">
        <v>16800124</v>
      </c>
      <c r="EF10" s="438">
        <v>16706971</v>
      </c>
      <c r="EG10" s="438"/>
      <c r="EH10" s="438"/>
      <c r="EI10" s="438"/>
      <c r="EJ10" s="438"/>
      <c r="EK10" s="438">
        <v>647622717</v>
      </c>
      <c r="EL10" s="814">
        <v>799002958</v>
      </c>
      <c r="EM10" s="658">
        <v>1367101</v>
      </c>
      <c r="EN10" s="658">
        <v>1974002</v>
      </c>
      <c r="EO10" s="606">
        <v>8381332</v>
      </c>
      <c r="EP10" s="691">
        <v>9066679</v>
      </c>
      <c r="EQ10" s="658">
        <v>581458760</v>
      </c>
      <c r="ER10" s="658">
        <v>1006241846</v>
      </c>
      <c r="ES10" s="658">
        <v>17874707</v>
      </c>
      <c r="ET10" s="658">
        <v>19830728</v>
      </c>
      <c r="EU10" s="606">
        <v>10268676</v>
      </c>
      <c r="EV10" s="606">
        <v>26731690</v>
      </c>
      <c r="EW10" s="606">
        <v>915330635</v>
      </c>
      <c r="EX10" s="606">
        <v>1568866072</v>
      </c>
      <c r="EY10" s="836">
        <v>45236739842</v>
      </c>
      <c r="EZ10" s="836">
        <v>21028443758</v>
      </c>
      <c r="FA10" s="836">
        <v>3116668925</v>
      </c>
      <c r="FB10" s="836">
        <v>4535216182</v>
      </c>
      <c r="FC10" s="836">
        <v>12444196251</v>
      </c>
      <c r="FD10" s="836">
        <v>14760698442</v>
      </c>
      <c r="FE10" s="836">
        <v>1422891555</v>
      </c>
      <c r="FF10" s="836">
        <v>2531986508</v>
      </c>
      <c r="FG10" s="836">
        <v>27763106824</v>
      </c>
      <c r="FH10" s="836">
        <v>58338687076</v>
      </c>
      <c r="FI10" s="836">
        <v>1626168273</v>
      </c>
      <c r="FJ10" s="838">
        <v>787156626</v>
      </c>
      <c r="FK10" s="638">
        <v>787156626000</v>
      </c>
      <c r="FL10" s="638">
        <v>1010389217000</v>
      </c>
      <c r="FM10" s="638">
        <v>2531986508000</v>
      </c>
      <c r="FN10" s="638">
        <v>1450898778000</v>
      </c>
      <c r="FO10" s="638">
        <v>14760698442</v>
      </c>
      <c r="FP10" s="638">
        <v>12406728182</v>
      </c>
    </row>
    <row r="11" spans="1:172" x14ac:dyDescent="0.25">
      <c r="A11" s="72" t="s">
        <v>13</v>
      </c>
      <c r="B11" s="122"/>
      <c r="C11" s="114"/>
      <c r="D11" s="152">
        <v>0</v>
      </c>
      <c r="E11" s="152">
        <v>1198549</v>
      </c>
      <c r="F11" s="115">
        <v>1198549</v>
      </c>
      <c r="G11" s="114">
        <v>0</v>
      </c>
      <c r="H11" s="152">
        <v>0</v>
      </c>
      <c r="I11" s="152">
        <v>0</v>
      </c>
      <c r="J11" s="114">
        <v>0</v>
      </c>
      <c r="K11" s="114">
        <v>0</v>
      </c>
      <c r="L11" s="152">
        <v>0</v>
      </c>
      <c r="M11" s="152">
        <v>0</v>
      </c>
      <c r="N11" s="115">
        <v>0</v>
      </c>
      <c r="O11" s="114">
        <v>0</v>
      </c>
      <c r="P11" s="114">
        <v>0</v>
      </c>
      <c r="Q11" s="114">
        <v>2403222</v>
      </c>
      <c r="R11" s="114">
        <v>2362872</v>
      </c>
      <c r="S11" s="114"/>
      <c r="T11" s="152">
        <v>0</v>
      </c>
      <c r="U11" s="121">
        <v>0</v>
      </c>
      <c r="V11" s="152">
        <v>0</v>
      </c>
      <c r="W11" s="152">
        <v>0</v>
      </c>
      <c r="X11" s="145">
        <v>0</v>
      </c>
      <c r="Y11" s="175">
        <v>817136</v>
      </c>
      <c r="Z11" s="114">
        <v>1071.2760000000001</v>
      </c>
      <c r="AA11" s="152">
        <v>1332871</v>
      </c>
      <c r="AB11" s="152">
        <v>1274361</v>
      </c>
      <c r="AC11" s="115">
        <v>5877582</v>
      </c>
      <c r="AD11" s="114">
        <v>0</v>
      </c>
      <c r="AE11" s="114">
        <v>670542.28700000001</v>
      </c>
      <c r="AF11" s="166">
        <v>540000</v>
      </c>
      <c r="AG11" s="152">
        <v>150317</v>
      </c>
      <c r="AH11" s="152">
        <v>101652</v>
      </c>
      <c r="AI11" s="145">
        <v>0</v>
      </c>
      <c r="AJ11" s="114">
        <v>0</v>
      </c>
      <c r="AK11" s="186">
        <v>0</v>
      </c>
      <c r="AL11" s="152">
        <v>0</v>
      </c>
      <c r="AM11" s="145">
        <v>0</v>
      </c>
      <c r="AN11" s="175">
        <v>1318000</v>
      </c>
      <c r="AO11" s="114">
        <v>2141000</v>
      </c>
      <c r="AP11" s="152">
        <v>5371000</v>
      </c>
      <c r="AQ11" s="147">
        <v>15278000</v>
      </c>
      <c r="AR11" s="147">
        <v>66474000</v>
      </c>
      <c r="AS11" s="236">
        <v>1198549</v>
      </c>
      <c r="AT11" s="114">
        <v>1185471</v>
      </c>
      <c r="AU11" s="247">
        <v>0</v>
      </c>
      <c r="AV11" s="247">
        <v>0</v>
      </c>
      <c r="AW11" s="236">
        <v>0</v>
      </c>
      <c r="AX11" s="114">
        <v>0</v>
      </c>
      <c r="AY11" s="114">
        <v>0</v>
      </c>
      <c r="AZ11" s="114">
        <v>0</v>
      </c>
      <c r="BA11" s="241">
        <v>0</v>
      </c>
      <c r="BB11" s="241">
        <v>0</v>
      </c>
      <c r="BC11" s="236">
        <v>5877582</v>
      </c>
      <c r="BD11" s="114">
        <v>5620262</v>
      </c>
      <c r="BE11" s="241">
        <v>0</v>
      </c>
      <c r="BF11" s="114"/>
      <c r="BG11" s="247">
        <v>101652</v>
      </c>
      <c r="BH11" s="114">
        <v>350000</v>
      </c>
      <c r="BI11" s="243">
        <v>66474000</v>
      </c>
      <c r="BJ11" s="114">
        <v>291497000</v>
      </c>
      <c r="BK11" s="114">
        <v>1185471</v>
      </c>
      <c r="BL11" s="114">
        <v>1056993</v>
      </c>
      <c r="BM11" s="305">
        <v>0</v>
      </c>
      <c r="BN11" s="305">
        <v>0</v>
      </c>
      <c r="BO11" s="114">
        <v>0</v>
      </c>
      <c r="BP11" s="114">
        <v>0</v>
      </c>
      <c r="BQ11" s="300">
        <v>0</v>
      </c>
      <c r="BR11" s="300">
        <v>0</v>
      </c>
      <c r="BS11" s="114">
        <v>5620262</v>
      </c>
      <c r="BT11" s="114">
        <v>4948548</v>
      </c>
      <c r="BU11" s="114"/>
      <c r="BV11" s="114"/>
      <c r="BW11" s="114">
        <v>350000</v>
      </c>
      <c r="BX11" s="114">
        <v>3377000</v>
      </c>
      <c r="BY11" s="114">
        <v>291497000</v>
      </c>
      <c r="BZ11" s="114">
        <v>755098000</v>
      </c>
      <c r="CA11" s="405">
        <v>1056993</v>
      </c>
      <c r="CB11" s="405">
        <v>1057557</v>
      </c>
      <c r="CC11" s="406">
        <v>0</v>
      </c>
      <c r="CD11" s="406">
        <v>0</v>
      </c>
      <c r="CE11" s="405">
        <v>3011240</v>
      </c>
      <c r="CF11" s="405">
        <v>3845455</v>
      </c>
      <c r="CG11" s="407"/>
      <c r="CH11" s="407"/>
      <c r="CI11" s="405">
        <v>4948548</v>
      </c>
      <c r="CJ11" s="405">
        <f>1033368+44821+75955</f>
        <v>1154144</v>
      </c>
      <c r="CK11" s="405"/>
      <c r="CL11" s="405"/>
      <c r="CM11" s="405">
        <v>3377000</v>
      </c>
      <c r="CN11" s="405">
        <v>3544343</v>
      </c>
      <c r="CO11" s="405">
        <v>715727000</v>
      </c>
      <c r="CP11" s="405">
        <v>960290000</v>
      </c>
      <c r="CQ11" s="114">
        <v>1057557</v>
      </c>
      <c r="CR11" s="114">
        <v>1057556</v>
      </c>
      <c r="CS11" s="114">
        <v>409552</v>
      </c>
      <c r="CT11" s="114">
        <v>157824</v>
      </c>
      <c r="CU11" s="114">
        <v>5422348</v>
      </c>
      <c r="CV11" s="114">
        <v>3553930</v>
      </c>
      <c r="CW11" s="457"/>
      <c r="CX11" s="114">
        <v>778320</v>
      </c>
      <c r="CY11" s="114">
        <v>1078189</v>
      </c>
      <c r="CZ11" s="114">
        <v>5920833</v>
      </c>
      <c r="DA11" s="114"/>
      <c r="DB11" s="114"/>
      <c r="DC11" s="114">
        <v>2941768</v>
      </c>
      <c r="DD11" s="114">
        <v>1156352</v>
      </c>
      <c r="DE11" s="114">
        <v>943182000</v>
      </c>
      <c r="DF11" s="114">
        <v>851424000</v>
      </c>
      <c r="DG11" s="114">
        <v>1066463</v>
      </c>
      <c r="DH11" s="114">
        <v>1104385</v>
      </c>
      <c r="DI11" s="114">
        <v>157824</v>
      </c>
      <c r="DJ11" s="114">
        <v>27221</v>
      </c>
      <c r="DK11" s="114">
        <v>3553930</v>
      </c>
      <c r="DL11" s="114">
        <v>2083202</v>
      </c>
      <c r="DM11" s="470">
        <v>778320</v>
      </c>
      <c r="DN11" s="114">
        <v>778320</v>
      </c>
      <c r="DO11" s="114">
        <v>5920833</v>
      </c>
      <c r="DP11" s="114">
        <v>6220825</v>
      </c>
      <c r="DQ11" s="114"/>
      <c r="DR11" s="114"/>
      <c r="DS11" s="114">
        <v>1156352</v>
      </c>
      <c r="DT11" s="114"/>
      <c r="DU11" s="114">
        <v>851424000</v>
      </c>
      <c r="DV11" s="114">
        <v>758864483</v>
      </c>
      <c r="DW11" s="438">
        <v>7624070</v>
      </c>
      <c r="DX11" s="438">
        <v>6270685</v>
      </c>
      <c r="DY11" s="438">
        <v>27221</v>
      </c>
      <c r="DZ11" s="438">
        <v>28148</v>
      </c>
      <c r="EA11" s="438">
        <v>2083202</v>
      </c>
      <c r="EB11" s="438">
        <v>770310</v>
      </c>
      <c r="EC11" s="438">
        <v>778320</v>
      </c>
      <c r="ED11" s="438">
        <v>778320</v>
      </c>
      <c r="EE11" s="438">
        <v>6220825</v>
      </c>
      <c r="EF11" s="438">
        <v>5755538</v>
      </c>
      <c r="EG11" s="438"/>
      <c r="EH11" s="438"/>
      <c r="EI11" s="438"/>
      <c r="EJ11" s="438"/>
      <c r="EK11" s="438">
        <v>758864483</v>
      </c>
      <c r="EL11" s="814">
        <v>743836266</v>
      </c>
      <c r="EM11" s="658">
        <v>8729587</v>
      </c>
      <c r="EN11" s="658">
        <v>7518651</v>
      </c>
      <c r="EO11" s="606">
        <v>7884897</v>
      </c>
      <c r="EP11" s="691">
        <v>7153430</v>
      </c>
      <c r="EQ11" s="658">
        <v>770329</v>
      </c>
      <c r="ER11" s="658">
        <v>868320</v>
      </c>
      <c r="ES11" s="658">
        <v>4552430</v>
      </c>
      <c r="ET11" s="658">
        <v>3699358</v>
      </c>
      <c r="EU11" s="606">
        <v>2006304</v>
      </c>
      <c r="EV11" s="606">
        <v>2366840</v>
      </c>
      <c r="EW11" s="606">
        <v>852198443</v>
      </c>
      <c r="EX11" s="606">
        <v>293829683</v>
      </c>
      <c r="EY11" s="836">
        <v>1878903569</v>
      </c>
      <c r="EZ11" s="836">
        <v>574310843</v>
      </c>
      <c r="FA11" s="836">
        <v>6540339941</v>
      </c>
      <c r="FB11" s="836">
        <v>6557836671</v>
      </c>
      <c r="FC11" s="836">
        <v>22529703815</v>
      </c>
      <c r="FD11" s="836">
        <v>34114268820</v>
      </c>
      <c r="FE11" s="836">
        <v>925178</v>
      </c>
      <c r="FF11" s="836">
        <v>1199975</v>
      </c>
      <c r="FG11" s="836">
        <v>7726955952</v>
      </c>
      <c r="FH11" s="836">
        <v>6033537866</v>
      </c>
      <c r="FI11" s="836">
        <v>260819328</v>
      </c>
      <c r="FJ11" s="838">
        <v>787040356</v>
      </c>
      <c r="FK11" s="638">
        <v>787040356000</v>
      </c>
      <c r="FL11" s="638">
        <v>725476863000</v>
      </c>
      <c r="FM11" s="638">
        <v>1199975000</v>
      </c>
      <c r="FN11" s="638">
        <v>1130179000</v>
      </c>
      <c r="FO11" s="638">
        <v>34114268820</v>
      </c>
      <c r="FP11" s="638">
        <v>82537653346</v>
      </c>
    </row>
    <row r="12" spans="1:172" ht="15.75" thickBot="1" x14ac:dyDescent="0.3">
      <c r="A12" s="69" t="s">
        <v>14</v>
      </c>
      <c r="B12" s="175">
        <v>805943.37800000003</v>
      </c>
      <c r="C12" s="114">
        <v>812654.353</v>
      </c>
      <c r="D12" s="152">
        <v>1199048.193</v>
      </c>
      <c r="E12" s="152"/>
      <c r="F12" s="115"/>
      <c r="G12" s="114">
        <v>0</v>
      </c>
      <c r="H12" s="152">
        <v>0</v>
      </c>
      <c r="I12" s="152">
        <v>0</v>
      </c>
      <c r="J12" s="114">
        <v>0</v>
      </c>
      <c r="K12" s="114">
        <v>0</v>
      </c>
      <c r="L12" s="152">
        <v>0</v>
      </c>
      <c r="M12" s="152">
        <v>0</v>
      </c>
      <c r="N12" s="115">
        <v>0</v>
      </c>
      <c r="O12" s="114">
        <v>0</v>
      </c>
      <c r="P12" s="114">
        <v>0</v>
      </c>
      <c r="Q12" s="114">
        <v>0</v>
      </c>
      <c r="R12" s="114">
        <v>0</v>
      </c>
      <c r="S12" s="114">
        <v>0</v>
      </c>
      <c r="T12" s="152">
        <v>0</v>
      </c>
      <c r="U12" s="121">
        <v>0</v>
      </c>
      <c r="V12" s="152">
        <v>0</v>
      </c>
      <c r="W12" s="152">
        <v>0</v>
      </c>
      <c r="X12" s="145">
        <v>0</v>
      </c>
      <c r="Y12" s="175">
        <v>0</v>
      </c>
      <c r="Z12" s="114">
        <v>0</v>
      </c>
      <c r="AA12" s="152">
        <v>0</v>
      </c>
      <c r="AB12" s="152"/>
      <c r="AC12" s="115"/>
      <c r="AD12" s="114">
        <v>0</v>
      </c>
      <c r="AE12" s="114">
        <v>0</v>
      </c>
      <c r="AF12" s="166">
        <v>0</v>
      </c>
      <c r="AG12" s="152">
        <v>0</v>
      </c>
      <c r="AH12" s="152">
        <v>0</v>
      </c>
      <c r="AI12" s="145">
        <v>0</v>
      </c>
      <c r="AJ12" s="114">
        <v>0</v>
      </c>
      <c r="AK12" s="186">
        <v>0</v>
      </c>
      <c r="AL12" s="152">
        <v>0</v>
      </c>
      <c r="AM12" s="145">
        <v>0</v>
      </c>
      <c r="AN12" s="175">
        <v>0</v>
      </c>
      <c r="AO12" s="114">
        <v>0</v>
      </c>
      <c r="AP12" s="152">
        <v>0</v>
      </c>
      <c r="AQ12" s="145">
        <v>0</v>
      </c>
      <c r="AR12" s="145"/>
      <c r="AS12" s="236"/>
      <c r="AT12" s="114"/>
      <c r="AU12" s="247">
        <v>0</v>
      </c>
      <c r="AV12" s="247">
        <v>0</v>
      </c>
      <c r="AW12" s="236">
        <v>0</v>
      </c>
      <c r="AX12" s="114">
        <v>0</v>
      </c>
      <c r="AY12" s="114">
        <v>0</v>
      </c>
      <c r="AZ12" s="114">
        <v>0</v>
      </c>
      <c r="BA12" s="241">
        <v>0</v>
      </c>
      <c r="BB12" s="241">
        <v>0</v>
      </c>
      <c r="BC12" s="236"/>
      <c r="BD12" s="114"/>
      <c r="BE12" s="241">
        <v>0</v>
      </c>
      <c r="BF12" s="114"/>
      <c r="BG12" s="247">
        <v>0</v>
      </c>
      <c r="BH12" s="114"/>
      <c r="BI12" s="241"/>
      <c r="BJ12" s="114">
        <v>0</v>
      </c>
      <c r="BK12" s="124"/>
      <c r="BL12" s="124"/>
      <c r="BM12" s="307">
        <v>0</v>
      </c>
      <c r="BN12" s="307">
        <v>0</v>
      </c>
      <c r="BO12" s="124">
        <v>0</v>
      </c>
      <c r="BP12" s="124">
        <v>0</v>
      </c>
      <c r="BQ12" s="302">
        <v>0</v>
      </c>
      <c r="BR12" s="302">
        <v>0</v>
      </c>
      <c r="BS12" s="124"/>
      <c r="BT12" s="124"/>
      <c r="BU12" s="124"/>
      <c r="BV12" s="124"/>
      <c r="BW12" s="124"/>
      <c r="BX12" s="124"/>
      <c r="BY12" s="124">
        <v>0</v>
      </c>
      <c r="BZ12" s="124">
        <v>0</v>
      </c>
      <c r="CA12" s="408"/>
      <c r="CB12" s="408"/>
      <c r="CC12" s="409">
        <v>0</v>
      </c>
      <c r="CD12" s="409">
        <v>0</v>
      </c>
      <c r="CE12" s="408"/>
      <c r="CF12" s="408"/>
      <c r="CG12" s="410">
        <v>0</v>
      </c>
      <c r="CH12" s="410">
        <v>0</v>
      </c>
      <c r="CI12" s="408"/>
      <c r="CJ12" s="408"/>
      <c r="CK12" s="408"/>
      <c r="CL12" s="408"/>
      <c r="CM12" s="408"/>
      <c r="CN12" s="408"/>
      <c r="CO12" s="408">
        <v>0</v>
      </c>
      <c r="CP12" s="408">
        <v>0</v>
      </c>
      <c r="CQ12" s="124"/>
      <c r="CR12" s="124"/>
      <c r="CS12" s="124"/>
      <c r="CT12" s="124"/>
      <c r="CU12" s="124"/>
      <c r="CV12" s="124"/>
      <c r="CW12" s="458">
        <v>0</v>
      </c>
      <c r="CX12" s="124"/>
      <c r="CY12" s="124"/>
      <c r="CZ12" s="124"/>
      <c r="DA12" s="124"/>
      <c r="DB12" s="124"/>
      <c r="DC12" s="124"/>
      <c r="DD12" s="124"/>
      <c r="DE12" s="124"/>
      <c r="DF12" s="124"/>
      <c r="DG12" s="124"/>
      <c r="DH12" s="124"/>
      <c r="DI12" s="124"/>
      <c r="DJ12" s="124"/>
      <c r="DK12" s="124"/>
      <c r="DL12" s="124"/>
      <c r="DM12" s="471"/>
      <c r="DN12" s="124"/>
      <c r="DO12" s="124"/>
      <c r="DP12" s="124"/>
      <c r="DQ12" s="124"/>
      <c r="DR12" s="124"/>
      <c r="DS12" s="124"/>
      <c r="DT12" s="124"/>
      <c r="DU12" s="124"/>
      <c r="DV12" s="124"/>
      <c r="DW12" s="438"/>
      <c r="DX12" s="438"/>
      <c r="DY12" s="438"/>
      <c r="DZ12" s="438"/>
      <c r="EA12" s="438"/>
      <c r="EB12" s="438"/>
      <c r="EC12" s="438"/>
      <c r="ED12" s="438"/>
      <c r="EE12" s="438"/>
      <c r="EF12" s="438"/>
      <c r="EG12" s="438"/>
      <c r="EH12" s="438"/>
      <c r="EI12" s="438"/>
      <c r="EJ12" s="438"/>
      <c r="EK12" s="438"/>
      <c r="EL12" s="814"/>
      <c r="EM12" s="605"/>
      <c r="EN12" s="605"/>
      <c r="EO12" s="605"/>
      <c r="EP12" s="605"/>
      <c r="EQ12" s="605"/>
      <c r="ER12" s="605"/>
      <c r="ES12" s="605"/>
      <c r="ET12" s="605"/>
      <c r="EU12" s="605"/>
      <c r="EV12" s="605"/>
      <c r="EW12" s="605"/>
      <c r="EX12" s="605"/>
      <c r="EY12" s="605"/>
      <c r="EZ12" s="605"/>
      <c r="FA12" s="605"/>
      <c r="FB12" s="605"/>
      <c r="FC12" s="605"/>
      <c r="FD12" s="605"/>
      <c r="FE12" s="605"/>
      <c r="FF12" s="605"/>
      <c r="FG12" s="605"/>
      <c r="FH12" s="605"/>
      <c r="FI12" s="605"/>
      <c r="FJ12" s="616"/>
      <c r="FK12" s="605"/>
      <c r="FL12" s="605"/>
      <c r="FM12" s="605"/>
      <c r="FN12" s="605"/>
      <c r="FO12" s="605"/>
      <c r="FP12" s="605"/>
    </row>
    <row r="13" spans="1:172" ht="15.75" thickBot="1" x14ac:dyDescent="0.3">
      <c r="A13" s="71" t="s">
        <v>15</v>
      </c>
      <c r="B13" s="176">
        <v>3675288.4479999999</v>
      </c>
      <c r="C13" s="118">
        <v>2682434.0630000001</v>
      </c>
      <c r="D13" s="153">
        <v>4498464.7410000004</v>
      </c>
      <c r="E13" s="153">
        <v>6622941</v>
      </c>
      <c r="F13" s="119">
        <v>7436930</v>
      </c>
      <c r="G13" s="118">
        <v>278057</v>
      </c>
      <c r="H13" s="153">
        <v>628191</v>
      </c>
      <c r="I13" s="153">
        <v>454274</v>
      </c>
      <c r="J13" s="118">
        <v>1262.2619999999999</v>
      </c>
      <c r="K13" s="118">
        <v>12164.98</v>
      </c>
      <c r="L13" s="153">
        <v>4762.8519999999999</v>
      </c>
      <c r="M13" s="153">
        <v>35454</v>
      </c>
      <c r="N13" s="119">
        <v>255188</v>
      </c>
      <c r="O13" s="118">
        <v>0</v>
      </c>
      <c r="P13" s="118">
        <v>3930207</v>
      </c>
      <c r="Q13" s="118">
        <v>7502834</v>
      </c>
      <c r="R13" s="118">
        <v>9900293</v>
      </c>
      <c r="S13" s="118">
        <v>0</v>
      </c>
      <c r="T13" s="153">
        <v>1793128</v>
      </c>
      <c r="U13" s="120">
        <v>53920572</v>
      </c>
      <c r="V13" s="153">
        <v>122809271</v>
      </c>
      <c r="W13" s="153">
        <v>421022004</v>
      </c>
      <c r="X13" s="146">
        <v>258149197</v>
      </c>
      <c r="Y13" s="176">
        <v>12661214</v>
      </c>
      <c r="Z13" s="118">
        <v>9048.3819999999996</v>
      </c>
      <c r="AA13" s="153">
        <v>10571774</v>
      </c>
      <c r="AB13" s="153">
        <v>14050049</v>
      </c>
      <c r="AC13" s="119">
        <v>12963307</v>
      </c>
      <c r="AD13" s="118">
        <v>0</v>
      </c>
      <c r="AE13" s="118">
        <v>3209279.702</v>
      </c>
      <c r="AF13" s="167">
        <v>1909761.4739999999</v>
      </c>
      <c r="AG13" s="153">
        <v>1704834</v>
      </c>
      <c r="AH13" s="153">
        <v>1162168</v>
      </c>
      <c r="AI13" s="146">
        <v>0</v>
      </c>
      <c r="AJ13" s="118">
        <v>571061.78099999996</v>
      </c>
      <c r="AK13" s="187">
        <v>645648.40599999996</v>
      </c>
      <c r="AL13" s="153">
        <v>829058</v>
      </c>
      <c r="AM13" s="146">
        <v>780362</v>
      </c>
      <c r="AN13" s="176">
        <v>52437000</v>
      </c>
      <c r="AO13" s="118">
        <v>68276000</v>
      </c>
      <c r="AP13" s="153">
        <v>66624000</v>
      </c>
      <c r="AQ13" s="146">
        <v>132882000</v>
      </c>
      <c r="AR13" s="146">
        <v>317575000</v>
      </c>
      <c r="AS13" s="237">
        <v>7436930</v>
      </c>
      <c r="AT13" s="118">
        <v>6093886</v>
      </c>
      <c r="AU13" s="248">
        <v>454274</v>
      </c>
      <c r="AV13" s="248">
        <v>1041654</v>
      </c>
      <c r="AW13" s="237">
        <v>255188</v>
      </c>
      <c r="AX13" s="118">
        <v>660037</v>
      </c>
      <c r="AY13" s="118">
        <v>0</v>
      </c>
      <c r="AZ13" s="118">
        <v>0</v>
      </c>
      <c r="BA13" s="242">
        <v>432692036</v>
      </c>
      <c r="BB13" s="242">
        <v>794405964</v>
      </c>
      <c r="BC13" s="237">
        <v>12963307</v>
      </c>
      <c r="BD13" s="118">
        <v>12900703</v>
      </c>
      <c r="BE13" s="242">
        <v>780362</v>
      </c>
      <c r="BF13" s="118">
        <v>619964</v>
      </c>
      <c r="BG13" s="248">
        <v>1162168</v>
      </c>
      <c r="BH13" s="118">
        <v>2247977</v>
      </c>
      <c r="BI13" s="242">
        <v>317575000</v>
      </c>
      <c r="BJ13" s="118">
        <v>545610000</v>
      </c>
      <c r="BK13" s="320">
        <v>6093886</v>
      </c>
      <c r="BL13" s="320">
        <v>6146600</v>
      </c>
      <c r="BM13" s="321">
        <v>682708</v>
      </c>
      <c r="BN13" s="321">
        <v>1212407</v>
      </c>
      <c r="BO13" s="320">
        <v>660037</v>
      </c>
      <c r="BP13" s="320">
        <v>5331128</v>
      </c>
      <c r="BQ13" s="322">
        <v>794405964</v>
      </c>
      <c r="BR13" s="322">
        <v>1104446386</v>
      </c>
      <c r="BS13" s="320">
        <v>12900703</v>
      </c>
      <c r="BT13" s="320">
        <v>13905836</v>
      </c>
      <c r="BU13" s="320">
        <v>619964</v>
      </c>
      <c r="BV13" s="320">
        <v>539654</v>
      </c>
      <c r="BW13" s="320">
        <v>2247977</v>
      </c>
      <c r="BX13" s="320">
        <v>6589638</v>
      </c>
      <c r="BY13" s="320">
        <v>545610000</v>
      </c>
      <c r="BZ13" s="320">
        <v>1251226000</v>
      </c>
      <c r="CA13" s="411">
        <v>6146600</v>
      </c>
      <c r="CB13" s="411">
        <f t="shared" ref="CB13:CP13" si="2">SUM(CB10:CB12)</f>
        <v>5741899</v>
      </c>
      <c r="CC13" s="412">
        <v>1212407</v>
      </c>
      <c r="CD13" s="412">
        <f t="shared" si="2"/>
        <v>1011315</v>
      </c>
      <c r="CE13" s="411">
        <f t="shared" si="2"/>
        <v>5439815</v>
      </c>
      <c r="CF13" s="411">
        <f t="shared" si="2"/>
        <v>6228015</v>
      </c>
      <c r="CG13" s="414">
        <f t="shared" si="2"/>
        <v>92780952</v>
      </c>
      <c r="CH13" s="414">
        <f t="shared" si="2"/>
        <v>148916891</v>
      </c>
      <c r="CI13" s="411">
        <v>13905836</v>
      </c>
      <c r="CJ13" s="411">
        <f t="shared" si="2"/>
        <v>9898305</v>
      </c>
      <c r="CK13" s="411">
        <v>539654</v>
      </c>
      <c r="CL13" s="411">
        <f t="shared" si="2"/>
        <v>0</v>
      </c>
      <c r="CM13" s="411">
        <v>6589638</v>
      </c>
      <c r="CN13" s="411">
        <f t="shared" si="2"/>
        <v>5723209</v>
      </c>
      <c r="CO13" s="411">
        <f t="shared" si="2"/>
        <v>1215283000</v>
      </c>
      <c r="CP13" s="411">
        <f t="shared" si="2"/>
        <v>1677500000</v>
      </c>
      <c r="CQ13" s="320">
        <v>5747478</v>
      </c>
      <c r="CR13" s="320">
        <v>5309216</v>
      </c>
      <c r="CS13" s="320">
        <v>1408412</v>
      </c>
      <c r="CT13" s="320">
        <v>931547</v>
      </c>
      <c r="CU13" s="320">
        <v>6267975</v>
      </c>
      <c r="CV13" s="320">
        <v>5410441</v>
      </c>
      <c r="CW13" s="459">
        <v>148916891</v>
      </c>
      <c r="CX13" s="320">
        <v>224721697</v>
      </c>
      <c r="CY13" s="320">
        <v>9898307</v>
      </c>
      <c r="CZ13" s="320">
        <v>18414092</v>
      </c>
      <c r="DA13" s="320">
        <v>0</v>
      </c>
      <c r="DB13" s="320">
        <v>529892</v>
      </c>
      <c r="DC13" s="320">
        <v>5742914</v>
      </c>
      <c r="DD13" s="320">
        <v>3887190</v>
      </c>
      <c r="DE13" s="320">
        <v>1660392000</v>
      </c>
      <c r="DF13" s="320">
        <v>1457163000</v>
      </c>
      <c r="DG13" s="320">
        <v>5669453</v>
      </c>
      <c r="DH13" s="320">
        <v>13222396</v>
      </c>
      <c r="DI13" s="320">
        <v>931547</v>
      </c>
      <c r="DJ13" s="320">
        <v>770645</v>
      </c>
      <c r="DK13" s="320">
        <v>5410441</v>
      </c>
      <c r="DL13" s="320">
        <v>3645554</v>
      </c>
      <c r="DM13" s="472">
        <v>224721697</v>
      </c>
      <c r="DN13" s="320">
        <v>403113023</v>
      </c>
      <c r="DO13" s="320">
        <v>18414092</v>
      </c>
      <c r="DP13" s="320">
        <v>23020949</v>
      </c>
      <c r="DQ13" s="320">
        <v>529892</v>
      </c>
      <c r="DR13" s="320">
        <v>0</v>
      </c>
      <c r="DS13" s="320">
        <v>3887190</v>
      </c>
      <c r="DT13" s="320">
        <v>0</v>
      </c>
      <c r="DU13" s="320">
        <v>1457163000</v>
      </c>
      <c r="DV13" s="320">
        <v>1406487200</v>
      </c>
      <c r="DW13" s="438">
        <f>+DW12+DW11+DW10</f>
        <v>13222396</v>
      </c>
      <c r="DX13" s="438">
        <f t="shared" ref="DX13:EL13" si="3">+DX12+DX11+DX10</f>
        <v>13653260</v>
      </c>
      <c r="DY13" s="438">
        <f t="shared" si="3"/>
        <v>770645</v>
      </c>
      <c r="DZ13" s="438">
        <f t="shared" si="3"/>
        <v>567972</v>
      </c>
      <c r="EA13" s="438">
        <f t="shared" si="3"/>
        <v>3645554</v>
      </c>
      <c r="EB13" s="438">
        <f t="shared" si="3"/>
        <v>2512350</v>
      </c>
      <c r="EC13" s="438">
        <f t="shared" si="3"/>
        <v>403113023</v>
      </c>
      <c r="ED13" s="438">
        <f t="shared" si="3"/>
        <v>556491719</v>
      </c>
      <c r="EE13" s="438">
        <f t="shared" si="3"/>
        <v>23020949</v>
      </c>
      <c r="EF13" s="438">
        <f t="shared" si="3"/>
        <v>22462509</v>
      </c>
      <c r="EG13" s="438">
        <f t="shared" si="3"/>
        <v>0</v>
      </c>
      <c r="EH13" s="438">
        <f t="shared" si="3"/>
        <v>0</v>
      </c>
      <c r="EI13" s="438">
        <f t="shared" si="3"/>
        <v>0</v>
      </c>
      <c r="EJ13" s="438">
        <f t="shared" si="3"/>
        <v>0</v>
      </c>
      <c r="EK13" s="438">
        <f t="shared" si="3"/>
        <v>1406487200</v>
      </c>
      <c r="EL13" s="814">
        <f t="shared" si="3"/>
        <v>1542839224</v>
      </c>
      <c r="EM13" s="605"/>
      <c r="EN13" s="605"/>
      <c r="EO13" s="605"/>
      <c r="EP13" s="605"/>
      <c r="EQ13" s="605"/>
      <c r="ER13" s="605"/>
      <c r="ES13" s="605"/>
      <c r="ET13" s="605"/>
      <c r="EU13" s="605"/>
      <c r="EV13" s="605"/>
      <c r="EW13" s="605"/>
      <c r="EX13" s="605"/>
      <c r="EY13" s="605"/>
      <c r="EZ13" s="605"/>
      <c r="FA13" s="605"/>
      <c r="FB13" s="605"/>
      <c r="FC13" s="605"/>
      <c r="FD13" s="605"/>
      <c r="FE13" s="605"/>
      <c r="FF13" s="605"/>
      <c r="FG13" s="605"/>
      <c r="FH13" s="605"/>
      <c r="FI13" s="605"/>
      <c r="FJ13" s="616"/>
      <c r="FK13" s="605"/>
      <c r="FL13" s="605"/>
      <c r="FM13" s="605"/>
      <c r="FN13" s="605"/>
      <c r="FO13" s="605"/>
      <c r="FP13" s="605"/>
    </row>
    <row r="14" spans="1:172" x14ac:dyDescent="0.25">
      <c r="A14" s="71" t="s">
        <v>16</v>
      </c>
      <c r="B14" s="175"/>
      <c r="C14" s="114"/>
      <c r="D14" s="152"/>
      <c r="E14" s="152"/>
      <c r="F14" s="115"/>
      <c r="G14" s="117"/>
      <c r="H14" s="152"/>
      <c r="I14" s="152"/>
      <c r="J14" s="117"/>
      <c r="K14" s="114"/>
      <c r="L14" s="152"/>
      <c r="M14" s="152"/>
      <c r="N14" s="115"/>
      <c r="O14" s="117"/>
      <c r="P14" s="117"/>
      <c r="Q14" s="117"/>
      <c r="R14" s="117"/>
      <c r="S14" s="117"/>
      <c r="T14" s="152"/>
      <c r="U14" s="121"/>
      <c r="V14" s="152"/>
      <c r="W14" s="152"/>
      <c r="X14" s="145"/>
      <c r="Y14" s="183"/>
      <c r="Z14" s="114"/>
      <c r="AA14" s="152"/>
      <c r="AB14" s="152"/>
      <c r="AC14" s="115"/>
      <c r="AD14" s="117"/>
      <c r="AE14" s="114"/>
      <c r="AF14" s="166"/>
      <c r="AG14" s="152"/>
      <c r="AH14" s="152"/>
      <c r="AI14" s="145"/>
      <c r="AJ14" s="114"/>
      <c r="AK14" s="186"/>
      <c r="AL14" s="152"/>
      <c r="AM14" s="145"/>
      <c r="AN14" s="175"/>
      <c r="AO14" s="114"/>
      <c r="AP14" s="152"/>
      <c r="AQ14" s="145"/>
      <c r="AR14" s="145"/>
      <c r="AS14" s="236"/>
      <c r="AT14" s="114"/>
      <c r="AU14" s="247"/>
      <c r="AV14" s="247"/>
      <c r="AW14" s="236"/>
      <c r="AX14" s="114"/>
      <c r="AY14" s="117"/>
      <c r="AZ14" s="117"/>
      <c r="BA14" s="241"/>
      <c r="BB14" s="241"/>
      <c r="BC14" s="236"/>
      <c r="BD14" s="114"/>
      <c r="BE14" s="241"/>
      <c r="BF14" s="114"/>
      <c r="BG14" s="247"/>
      <c r="BH14" s="114"/>
      <c r="BI14" s="241"/>
      <c r="BJ14" s="114"/>
      <c r="BK14" s="127"/>
      <c r="BL14" s="127"/>
      <c r="BM14" s="308"/>
      <c r="BN14" s="308"/>
      <c r="BO14" s="127"/>
      <c r="BP14" s="127"/>
      <c r="BQ14" s="303"/>
      <c r="BR14" s="303"/>
      <c r="BS14" s="127"/>
      <c r="BT14" s="127"/>
      <c r="BU14" s="127"/>
      <c r="BV14" s="127"/>
      <c r="BW14" s="127"/>
      <c r="BX14" s="127"/>
      <c r="BY14" s="127"/>
      <c r="BZ14" s="127"/>
      <c r="CA14" s="415"/>
      <c r="CB14" s="415"/>
      <c r="CC14" s="418"/>
      <c r="CD14" s="418"/>
      <c r="CE14" s="415"/>
      <c r="CF14" s="415"/>
      <c r="CG14" s="419"/>
      <c r="CH14" s="419"/>
      <c r="CI14" s="415"/>
      <c r="CJ14" s="415"/>
      <c r="CK14" s="415"/>
      <c r="CL14" s="415"/>
      <c r="CM14" s="415"/>
      <c r="CN14" s="415"/>
      <c r="CO14" s="415"/>
      <c r="CP14" s="415"/>
      <c r="CQ14" s="127"/>
      <c r="CR14" s="127"/>
      <c r="CS14" s="127"/>
      <c r="CT14" s="127"/>
      <c r="CU14" s="127"/>
      <c r="CV14" s="127"/>
      <c r="CW14" s="461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474"/>
      <c r="DN14" s="127"/>
      <c r="DO14" s="127"/>
      <c r="DP14" s="127"/>
      <c r="DQ14" s="127"/>
      <c r="DR14" s="127"/>
      <c r="DS14" s="127"/>
      <c r="DT14" s="127"/>
      <c r="DU14" s="127"/>
      <c r="DV14" s="127"/>
      <c r="DW14" s="441"/>
      <c r="DX14" s="441"/>
      <c r="DY14" s="441"/>
      <c r="DZ14" s="441"/>
      <c r="EA14" s="441"/>
      <c r="EB14" s="441"/>
      <c r="EC14" s="441"/>
      <c r="ED14" s="441"/>
      <c r="EE14" s="441"/>
      <c r="EF14" s="441"/>
      <c r="EG14" s="441"/>
      <c r="EH14" s="441"/>
      <c r="EI14" s="441"/>
      <c r="EJ14" s="441"/>
      <c r="EK14" s="441"/>
      <c r="EL14" s="815"/>
      <c r="EM14" s="605"/>
      <c r="EN14" s="605"/>
      <c r="EO14" s="605"/>
      <c r="EP14" s="605"/>
      <c r="EQ14" s="605"/>
      <c r="ER14" s="605"/>
      <c r="ES14" s="605"/>
      <c r="ET14" s="605"/>
      <c r="EU14" s="605"/>
      <c r="EV14" s="605"/>
      <c r="EW14" s="605"/>
      <c r="EX14" s="605"/>
      <c r="EY14" s="605"/>
      <c r="EZ14" s="605"/>
      <c r="FA14" s="605"/>
      <c r="FB14" s="605"/>
      <c r="FC14" s="605"/>
      <c r="FD14" s="605"/>
      <c r="FE14" s="605"/>
      <c r="FF14" s="605"/>
      <c r="FG14" s="605"/>
      <c r="FH14" s="605"/>
      <c r="FI14" s="605"/>
      <c r="FJ14" s="616"/>
      <c r="FK14" s="605"/>
      <c r="FL14" s="605"/>
      <c r="FM14" s="605"/>
      <c r="FN14" s="605"/>
      <c r="FO14" s="605"/>
      <c r="FP14" s="605"/>
    </row>
    <row r="15" spans="1:172" ht="15.75" thickBot="1" x14ac:dyDescent="0.3">
      <c r="A15" s="80" t="s">
        <v>17</v>
      </c>
      <c r="B15" s="177">
        <v>500000</v>
      </c>
      <c r="C15" s="124">
        <v>500000</v>
      </c>
      <c r="D15" s="154">
        <v>500000</v>
      </c>
      <c r="E15" s="154">
        <v>500000</v>
      </c>
      <c r="F15" s="125">
        <v>500000</v>
      </c>
      <c r="G15" s="124">
        <v>30000</v>
      </c>
      <c r="H15" s="154">
        <v>30000</v>
      </c>
      <c r="I15" s="154">
        <v>30000</v>
      </c>
      <c r="J15" s="124">
        <v>209000</v>
      </c>
      <c r="K15" s="124">
        <v>209000</v>
      </c>
      <c r="L15" s="154">
        <v>209000</v>
      </c>
      <c r="M15" s="154">
        <v>209000</v>
      </c>
      <c r="N15" s="125">
        <v>209000</v>
      </c>
      <c r="O15" s="124">
        <v>0</v>
      </c>
      <c r="P15" s="124">
        <v>2000000</v>
      </c>
      <c r="Q15" s="124">
        <v>2200000</v>
      </c>
      <c r="R15" s="124">
        <v>3250000</v>
      </c>
      <c r="S15" s="124"/>
      <c r="T15" s="154">
        <v>1615250</v>
      </c>
      <c r="U15" s="126">
        <v>1776775</v>
      </c>
      <c r="V15" s="154">
        <v>1776775</v>
      </c>
      <c r="W15" s="154">
        <v>1781955</v>
      </c>
      <c r="X15" s="148">
        <v>1776780</v>
      </c>
      <c r="Y15" s="177">
        <v>8000000</v>
      </c>
      <c r="Z15" s="124">
        <v>8000</v>
      </c>
      <c r="AA15" s="154">
        <v>8000000</v>
      </c>
      <c r="AB15" s="154">
        <v>8000000</v>
      </c>
      <c r="AC15" s="125">
        <v>8000000</v>
      </c>
      <c r="AD15" s="124">
        <v>0</v>
      </c>
      <c r="AE15" s="124">
        <v>500000</v>
      </c>
      <c r="AF15" s="168">
        <v>500000</v>
      </c>
      <c r="AG15" s="154">
        <v>2000000</v>
      </c>
      <c r="AH15" s="154">
        <v>2000000</v>
      </c>
      <c r="AI15" s="148">
        <v>0</v>
      </c>
      <c r="AJ15" s="124">
        <v>560000</v>
      </c>
      <c r="AK15" s="188">
        <v>560000</v>
      </c>
      <c r="AL15" s="154">
        <v>560000</v>
      </c>
      <c r="AM15" s="148">
        <v>560000</v>
      </c>
      <c r="AN15" s="177">
        <v>7000000</v>
      </c>
      <c r="AO15" s="124">
        <v>7000000</v>
      </c>
      <c r="AP15" s="154">
        <v>7000000</v>
      </c>
      <c r="AQ15" s="148">
        <v>7000000</v>
      </c>
      <c r="AR15" s="148">
        <v>7000000</v>
      </c>
      <c r="AS15" s="238">
        <v>500000</v>
      </c>
      <c r="AT15" s="124">
        <v>500000</v>
      </c>
      <c r="AU15" s="249">
        <v>30000</v>
      </c>
      <c r="AV15" s="249">
        <v>30000</v>
      </c>
      <c r="AW15" s="238">
        <v>209000</v>
      </c>
      <c r="AX15" s="124">
        <v>209000</v>
      </c>
      <c r="AY15" s="124">
        <v>0</v>
      </c>
      <c r="AZ15" s="124"/>
      <c r="BA15" s="244">
        <v>1776780</v>
      </c>
      <c r="BB15" s="244">
        <v>1776780</v>
      </c>
      <c r="BC15" s="238">
        <v>8000000</v>
      </c>
      <c r="BD15" s="124">
        <v>8000000</v>
      </c>
      <c r="BE15" s="244">
        <v>560000</v>
      </c>
      <c r="BF15" s="124">
        <v>560000</v>
      </c>
      <c r="BG15" s="249">
        <v>2000000</v>
      </c>
      <c r="BH15" s="124">
        <v>2000000</v>
      </c>
      <c r="BI15" s="244">
        <v>7000000</v>
      </c>
      <c r="BJ15" s="124">
        <v>7000000</v>
      </c>
      <c r="BK15" s="124">
        <v>500000</v>
      </c>
      <c r="BL15" s="124">
        <v>4352280</v>
      </c>
      <c r="BM15" s="307">
        <v>30000</v>
      </c>
      <c r="BN15" s="307">
        <v>30000</v>
      </c>
      <c r="BO15" s="124">
        <v>209000</v>
      </c>
      <c r="BP15" s="124">
        <v>209000</v>
      </c>
      <c r="BQ15" s="302">
        <v>1776780</v>
      </c>
      <c r="BR15" s="302">
        <v>1776785</v>
      </c>
      <c r="BS15" s="124">
        <v>8000000</v>
      </c>
      <c r="BT15" s="124">
        <v>8000000</v>
      </c>
      <c r="BU15" s="124">
        <v>560000</v>
      </c>
      <c r="BV15" s="124">
        <v>560000</v>
      </c>
      <c r="BW15" s="124">
        <v>2000000</v>
      </c>
      <c r="BX15" s="124">
        <v>2000000</v>
      </c>
      <c r="BY15" s="124">
        <v>7000000</v>
      </c>
      <c r="BZ15" s="124">
        <v>24705000</v>
      </c>
      <c r="CA15" s="408">
        <v>4352280</v>
      </c>
      <c r="CB15" s="408">
        <v>4352280</v>
      </c>
      <c r="CC15" s="409">
        <v>30000</v>
      </c>
      <c r="CD15" s="409">
        <v>30000</v>
      </c>
      <c r="CE15" s="408">
        <v>209000</v>
      </c>
      <c r="CF15" s="408">
        <v>209000</v>
      </c>
      <c r="CG15" s="410">
        <v>1776785</v>
      </c>
      <c r="CH15" s="410">
        <v>1776785</v>
      </c>
      <c r="CI15" s="408">
        <v>8000000</v>
      </c>
      <c r="CJ15" s="408">
        <v>8000000</v>
      </c>
      <c r="CK15" s="408">
        <v>560000</v>
      </c>
      <c r="CL15" s="408"/>
      <c r="CM15" s="408">
        <v>2000000</v>
      </c>
      <c r="CN15" s="408">
        <v>2000000</v>
      </c>
      <c r="CO15" s="408">
        <v>180987000</v>
      </c>
      <c r="CP15" s="408">
        <v>180987000</v>
      </c>
      <c r="CQ15" s="124">
        <v>4352280</v>
      </c>
      <c r="CR15" s="124">
        <v>5719480</v>
      </c>
      <c r="CS15" s="124">
        <v>30000</v>
      </c>
      <c r="CT15" s="124">
        <v>30000</v>
      </c>
      <c r="CU15" s="124">
        <v>209000</v>
      </c>
      <c r="CV15" s="124">
        <v>209000</v>
      </c>
      <c r="CW15" s="458">
        <v>1776785</v>
      </c>
      <c r="CX15" s="124">
        <v>1776785</v>
      </c>
      <c r="CY15" s="124">
        <v>8000000</v>
      </c>
      <c r="CZ15" s="124">
        <v>8000000</v>
      </c>
      <c r="DA15" s="124"/>
      <c r="DB15" s="124">
        <v>560000</v>
      </c>
      <c r="DC15" s="124">
        <v>2000000</v>
      </c>
      <c r="DD15" s="124">
        <v>2000000</v>
      </c>
      <c r="DE15" s="124">
        <v>180987000</v>
      </c>
      <c r="DF15" s="124">
        <v>180982000</v>
      </c>
      <c r="DG15" s="124">
        <v>5719480</v>
      </c>
      <c r="DH15" s="124">
        <v>5792130</v>
      </c>
      <c r="DI15" s="124">
        <v>30000</v>
      </c>
      <c r="DJ15" s="124">
        <v>30000</v>
      </c>
      <c r="DK15" s="124">
        <v>209000</v>
      </c>
      <c r="DL15" s="124">
        <v>209000</v>
      </c>
      <c r="DM15" s="471">
        <v>1776785</v>
      </c>
      <c r="DN15" s="124">
        <v>1776785</v>
      </c>
      <c r="DO15" s="124">
        <v>8000000</v>
      </c>
      <c r="DP15" s="124">
        <v>8000000</v>
      </c>
      <c r="DQ15" s="124">
        <v>560000</v>
      </c>
      <c r="DR15" s="124"/>
      <c r="DS15" s="124">
        <v>2000000</v>
      </c>
      <c r="DT15" s="124"/>
      <c r="DU15" s="124">
        <v>180982000</v>
      </c>
      <c r="DV15" s="124">
        <v>180982000</v>
      </c>
      <c r="DW15" s="438">
        <v>5792120</v>
      </c>
      <c r="DX15" s="438">
        <v>6000000</v>
      </c>
      <c r="DY15" s="438">
        <v>30000</v>
      </c>
      <c r="DZ15" s="438">
        <v>30000</v>
      </c>
      <c r="EA15" s="438">
        <v>209000</v>
      </c>
      <c r="EB15" s="438">
        <v>209000</v>
      </c>
      <c r="EC15" s="438">
        <v>1776785</v>
      </c>
      <c r="ED15" s="438">
        <v>1776785</v>
      </c>
      <c r="EE15" s="438">
        <v>8000000</v>
      </c>
      <c r="EF15" s="438">
        <v>8000000</v>
      </c>
      <c r="EG15" s="438"/>
      <c r="EH15" s="438"/>
      <c r="EI15" s="438"/>
      <c r="EJ15" s="438"/>
      <c r="EK15" s="438">
        <v>180981800</v>
      </c>
      <c r="EL15" s="814">
        <v>180981800</v>
      </c>
      <c r="EM15" s="606">
        <v>209000</v>
      </c>
      <c r="EN15" s="691">
        <v>209000</v>
      </c>
      <c r="EO15" s="606">
        <v>6000000</v>
      </c>
      <c r="EP15" s="691">
        <v>6000000</v>
      </c>
      <c r="EQ15" s="606">
        <v>1776785</v>
      </c>
      <c r="ER15" s="606">
        <v>1861785</v>
      </c>
      <c r="ES15" s="606">
        <v>8000000</v>
      </c>
      <c r="ET15" s="606">
        <v>12942608</v>
      </c>
      <c r="EU15" s="606">
        <v>2300000</v>
      </c>
      <c r="EV15" s="606">
        <v>2300000</v>
      </c>
      <c r="EW15" s="606">
        <f>26564531+180981800</f>
        <v>207546331</v>
      </c>
      <c r="EX15" s="606">
        <v>207546331</v>
      </c>
      <c r="EY15" s="836">
        <v>2300000000</v>
      </c>
      <c r="EZ15" s="836">
        <v>2300000000</v>
      </c>
      <c r="FA15" s="836">
        <v>209000000</v>
      </c>
      <c r="FB15" s="836">
        <v>209000000</v>
      </c>
      <c r="FC15" s="836">
        <v>6000000000</v>
      </c>
      <c r="FD15" s="836">
        <v>6000000000</v>
      </c>
      <c r="FE15" s="836">
        <v>1861785</v>
      </c>
      <c r="FF15" s="836">
        <v>1861785</v>
      </c>
      <c r="FG15" s="836">
        <v>12942608000</v>
      </c>
      <c r="FH15" s="836">
        <v>12942608000</v>
      </c>
      <c r="FI15" s="836">
        <v>182841301</v>
      </c>
      <c r="FJ15" s="838">
        <v>182841301</v>
      </c>
      <c r="FK15" s="638">
        <v>182841301000</v>
      </c>
      <c r="FL15" s="638">
        <v>182841301000</v>
      </c>
      <c r="FM15" s="638">
        <v>1861785000</v>
      </c>
      <c r="FN15" s="638">
        <v>1861785000</v>
      </c>
      <c r="FO15" s="638">
        <v>6000000000</v>
      </c>
      <c r="FP15" s="638">
        <v>6000000000</v>
      </c>
    </row>
    <row r="16" spans="1:172" ht="15.75" thickBot="1" x14ac:dyDescent="0.3">
      <c r="A16" s="89" t="s">
        <v>18</v>
      </c>
      <c r="B16" s="178">
        <v>704074.87600000005</v>
      </c>
      <c r="C16" s="130">
        <v>650411.78</v>
      </c>
      <c r="D16" s="155">
        <v>-1190801.297</v>
      </c>
      <c r="E16" s="155">
        <v>-2142597</v>
      </c>
      <c r="F16" s="131">
        <v>468249</v>
      </c>
      <c r="G16" s="130">
        <v>60647</v>
      </c>
      <c r="H16" s="155">
        <v>109689</v>
      </c>
      <c r="I16" s="155">
        <v>225775</v>
      </c>
      <c r="J16" s="130">
        <v>-18370.036</v>
      </c>
      <c r="K16" s="130">
        <v>14068</v>
      </c>
      <c r="L16" s="155">
        <v>77.305999999999997</v>
      </c>
      <c r="M16" s="155">
        <v>4189</v>
      </c>
      <c r="N16" s="131">
        <v>103093</v>
      </c>
      <c r="O16" s="130">
        <v>0</v>
      </c>
      <c r="P16" s="130">
        <v>210801</v>
      </c>
      <c r="Q16" s="130">
        <v>-1167323</v>
      </c>
      <c r="R16" s="130">
        <v>-4534631</v>
      </c>
      <c r="S16" s="130"/>
      <c r="T16" s="155">
        <v>4094</v>
      </c>
      <c r="U16" s="132">
        <v>-426219</v>
      </c>
      <c r="V16" s="155">
        <v>898720</v>
      </c>
      <c r="W16" s="155">
        <v>3857966</v>
      </c>
      <c r="X16" s="133">
        <v>-10133502</v>
      </c>
      <c r="Y16" s="178">
        <v>1888482</v>
      </c>
      <c r="Z16" s="130">
        <v>-2020.385</v>
      </c>
      <c r="AA16" s="155">
        <v>-1270189</v>
      </c>
      <c r="AB16" s="155">
        <v>-1683881</v>
      </c>
      <c r="AC16" s="131">
        <v>-2371497</v>
      </c>
      <c r="AD16" s="130">
        <v>0</v>
      </c>
      <c r="AE16" s="130">
        <v>308677.83399999997</v>
      </c>
      <c r="AF16" s="169">
        <v>166039.79699999999</v>
      </c>
      <c r="AG16" s="155">
        <v>233448</v>
      </c>
      <c r="AH16" s="155">
        <v>2933</v>
      </c>
      <c r="AI16" s="133">
        <v>0</v>
      </c>
      <c r="AJ16" s="130">
        <v>81382.410999999993</v>
      </c>
      <c r="AK16" s="189">
        <v>257543.50599999999</v>
      </c>
      <c r="AL16" s="155">
        <v>135627</v>
      </c>
      <c r="AM16" s="133">
        <v>37123</v>
      </c>
      <c r="AN16" s="178">
        <v>94449000</v>
      </c>
      <c r="AO16" s="130">
        <v>2267000</v>
      </c>
      <c r="AP16" s="155">
        <v>-33003000</v>
      </c>
      <c r="AQ16" s="133">
        <v>-2743000</v>
      </c>
      <c r="AR16" s="133">
        <v>-3351000</v>
      </c>
      <c r="AS16" s="254">
        <v>468249</v>
      </c>
      <c r="AT16" s="255">
        <v>277440</v>
      </c>
      <c r="AU16" s="256">
        <v>225775</v>
      </c>
      <c r="AV16" s="256">
        <v>108903</v>
      </c>
      <c r="AW16" s="254">
        <v>103093</v>
      </c>
      <c r="AX16" s="255">
        <v>169735</v>
      </c>
      <c r="AY16" s="255">
        <v>0</v>
      </c>
      <c r="AZ16" s="255"/>
      <c r="BA16" s="257">
        <v>-10133502</v>
      </c>
      <c r="BB16" s="257">
        <v>-4731147</v>
      </c>
      <c r="BC16" s="254">
        <v>-2371497</v>
      </c>
      <c r="BD16" s="255">
        <v>6386909</v>
      </c>
      <c r="BE16" s="257">
        <v>37123</v>
      </c>
      <c r="BF16" s="255">
        <v>16402</v>
      </c>
      <c r="BG16" s="256">
        <v>2933</v>
      </c>
      <c r="BH16" s="255">
        <v>88811</v>
      </c>
      <c r="BI16" s="257">
        <v>-3351000</v>
      </c>
      <c r="BJ16" s="255">
        <v>-2743000</v>
      </c>
      <c r="BK16" s="311">
        <v>277440</v>
      </c>
      <c r="BL16" s="311">
        <v>311491</v>
      </c>
      <c r="BM16" s="312">
        <v>37757</v>
      </c>
      <c r="BN16" s="312">
        <v>105532</v>
      </c>
      <c r="BO16" s="311">
        <v>169735</v>
      </c>
      <c r="BP16" s="311">
        <v>900243</v>
      </c>
      <c r="BQ16" s="313">
        <v>-4731147</v>
      </c>
      <c r="BR16" s="313">
        <v>-9057345</v>
      </c>
      <c r="BS16" s="311">
        <v>6386909</v>
      </c>
      <c r="BT16" s="311">
        <v>3966104</v>
      </c>
      <c r="BU16" s="311">
        <v>16402</v>
      </c>
      <c r="BV16" s="311">
        <v>40568</v>
      </c>
      <c r="BW16" s="311">
        <v>88811</v>
      </c>
      <c r="BX16" s="311">
        <v>-130361</v>
      </c>
      <c r="BY16" s="311">
        <v>-2743000</v>
      </c>
      <c r="BZ16" s="311">
        <v>-27936000</v>
      </c>
      <c r="CA16" s="420">
        <v>311491</v>
      </c>
      <c r="CB16" s="420">
        <v>3901749</v>
      </c>
      <c r="CC16" s="421">
        <v>105532</v>
      </c>
      <c r="CD16" s="421">
        <v>163528</v>
      </c>
      <c r="CE16" s="420">
        <v>577863</v>
      </c>
      <c r="CF16" s="420">
        <v>111242</v>
      </c>
      <c r="CG16" s="422">
        <f>+-14144345-602809</f>
        <v>-14747154</v>
      </c>
      <c r="CH16" s="422">
        <v>-2326589</v>
      </c>
      <c r="CI16" s="420">
        <v>3966104</v>
      </c>
      <c r="CJ16" s="420">
        <v>811606</v>
      </c>
      <c r="CK16" s="420">
        <v>40568</v>
      </c>
      <c r="CL16" s="420"/>
      <c r="CM16" s="420">
        <v>-130361</v>
      </c>
      <c r="CN16" s="420">
        <v>93194</v>
      </c>
      <c r="CO16" s="420">
        <v>68392000</v>
      </c>
      <c r="CP16" s="420">
        <v>137375000</v>
      </c>
      <c r="CQ16" s="311">
        <v>3901749</v>
      </c>
      <c r="CR16" s="311">
        <v>179840</v>
      </c>
      <c r="CS16" s="311">
        <v>-454087</v>
      </c>
      <c r="CT16" s="311">
        <v>-22982</v>
      </c>
      <c r="CU16" s="311">
        <v>231009</v>
      </c>
      <c r="CV16" s="311">
        <v>163735</v>
      </c>
      <c r="CW16" s="462">
        <v>-2326589</v>
      </c>
      <c r="CX16" s="311">
        <v>-2437491</v>
      </c>
      <c r="CY16" s="311">
        <v>811606</v>
      </c>
      <c r="CZ16" s="311">
        <v>1990432</v>
      </c>
      <c r="DA16" s="311"/>
      <c r="DB16" s="311">
        <v>186716</v>
      </c>
      <c r="DC16" s="311">
        <v>131448</v>
      </c>
      <c r="DD16" s="311">
        <v>-730115</v>
      </c>
      <c r="DE16" s="311">
        <v>137375000</v>
      </c>
      <c r="DF16" s="311">
        <v>143600000</v>
      </c>
      <c r="DG16" s="311">
        <v>1127265</v>
      </c>
      <c r="DH16" s="311">
        <v>-1803305</v>
      </c>
      <c r="DI16" s="311">
        <v>-22982</v>
      </c>
      <c r="DJ16" s="311">
        <v>-127618</v>
      </c>
      <c r="DK16" s="311">
        <v>163735</v>
      </c>
      <c r="DL16" s="311">
        <v>632589</v>
      </c>
      <c r="DM16" s="475">
        <v>-2437491</v>
      </c>
      <c r="DN16" s="311">
        <v>10489274</v>
      </c>
      <c r="DO16" s="311">
        <v>1990432</v>
      </c>
      <c r="DP16" s="311">
        <v>1200068</v>
      </c>
      <c r="DQ16" s="311">
        <v>186716</v>
      </c>
      <c r="DR16" s="311"/>
      <c r="DS16" s="311">
        <v>-730115</v>
      </c>
      <c r="DT16" s="311"/>
      <c r="DU16" s="311">
        <v>143600000</v>
      </c>
      <c r="DV16" s="311">
        <v>59122955</v>
      </c>
      <c r="DW16" s="438">
        <v>-1803306</v>
      </c>
      <c r="DX16" s="438">
        <v>-371175</v>
      </c>
      <c r="DY16" s="438">
        <v>-127618</v>
      </c>
      <c r="DZ16" s="438">
        <v>183003</v>
      </c>
      <c r="EA16" s="438">
        <v>632589</v>
      </c>
      <c r="EB16" s="438">
        <v>560179</v>
      </c>
      <c r="EC16" s="438">
        <v>11069457</v>
      </c>
      <c r="ED16" s="438">
        <v>3793711</v>
      </c>
      <c r="EE16" s="438">
        <v>1200068</v>
      </c>
      <c r="EF16" s="438">
        <v>406230</v>
      </c>
      <c r="EG16" s="438"/>
      <c r="EH16" s="438"/>
      <c r="EI16" s="438"/>
      <c r="EJ16" s="438"/>
      <c r="EK16" s="438">
        <v>59122955</v>
      </c>
      <c r="EL16" s="814">
        <v>100955984</v>
      </c>
      <c r="EM16" s="817">
        <v>184161</v>
      </c>
      <c r="EN16" s="818">
        <v>-15314</v>
      </c>
      <c r="EO16" s="819">
        <v>-675134</v>
      </c>
      <c r="EP16" s="820">
        <v>682281</v>
      </c>
      <c r="EQ16" s="821">
        <v>-7925722</v>
      </c>
      <c r="ER16" s="821">
        <v>-8606253</v>
      </c>
      <c r="ES16" s="822">
        <v>1478722</v>
      </c>
      <c r="ET16" s="822">
        <v>1502099</v>
      </c>
      <c r="EU16" s="822">
        <v>168755</v>
      </c>
      <c r="EV16" s="822">
        <v>2553344</v>
      </c>
      <c r="EW16" s="818">
        <v>-185294085</v>
      </c>
      <c r="EX16" s="822">
        <v>293269632</v>
      </c>
      <c r="EY16" s="605"/>
      <c r="EZ16" s="605"/>
      <c r="FA16" s="605"/>
      <c r="FB16" s="605"/>
      <c r="FC16" s="605"/>
      <c r="FD16" s="605"/>
      <c r="FE16" s="605"/>
      <c r="FF16" s="605"/>
      <c r="FG16" s="605"/>
      <c r="FH16" s="605"/>
      <c r="FI16" s="605"/>
      <c r="FJ16" s="616"/>
      <c r="FK16" s="605"/>
      <c r="FL16" s="605"/>
      <c r="FM16" s="605"/>
      <c r="FN16" s="605"/>
      <c r="FO16" s="605"/>
      <c r="FP16" s="605"/>
    </row>
    <row r="17" spans="1:172" x14ac:dyDescent="0.25">
      <c r="A17" s="82" t="s">
        <v>19</v>
      </c>
      <c r="B17" s="179">
        <v>0</v>
      </c>
      <c r="C17" s="127">
        <v>0</v>
      </c>
      <c r="D17" s="156">
        <v>0</v>
      </c>
      <c r="E17" s="156">
        <v>-1190801</v>
      </c>
      <c r="F17" s="128">
        <v>-3333398</v>
      </c>
      <c r="G17" s="127">
        <v>-149582</v>
      </c>
      <c r="H17" s="156">
        <v>540736</v>
      </c>
      <c r="I17" s="156">
        <v>612599</v>
      </c>
      <c r="J17" s="127">
        <v>100227.266</v>
      </c>
      <c r="K17" s="127">
        <v>81857.23</v>
      </c>
      <c r="L17" s="156">
        <v>108054.575</v>
      </c>
      <c r="M17" s="156">
        <v>105505</v>
      </c>
      <c r="N17" s="128">
        <v>105505</v>
      </c>
      <c r="O17" s="127">
        <v>0</v>
      </c>
      <c r="P17" s="127">
        <v>0</v>
      </c>
      <c r="Q17" s="127">
        <v>0</v>
      </c>
      <c r="R17" s="127">
        <v>-1167323</v>
      </c>
      <c r="S17" s="127"/>
      <c r="T17" s="156">
        <v>0</v>
      </c>
      <c r="U17" s="129">
        <v>3685</v>
      </c>
      <c r="V17" s="156">
        <v>-42534</v>
      </c>
      <c r="W17" s="156">
        <v>-6999968</v>
      </c>
      <c r="X17" s="149">
        <v>-3137230</v>
      </c>
      <c r="Y17" s="179">
        <v>3763796</v>
      </c>
      <c r="Z17" s="127">
        <v>5660.6689999999999</v>
      </c>
      <c r="AA17" s="156">
        <v>3505756</v>
      </c>
      <c r="AB17" s="156">
        <v>2235566</v>
      </c>
      <c r="AC17" s="128">
        <v>551686</v>
      </c>
      <c r="AD17" s="127">
        <v>0</v>
      </c>
      <c r="AE17" s="127">
        <v>-881332.12600000005</v>
      </c>
      <c r="AF17" s="170">
        <v>-603522.07299999997</v>
      </c>
      <c r="AG17" s="156">
        <v>454961</v>
      </c>
      <c r="AH17" s="156">
        <v>0</v>
      </c>
      <c r="AI17" s="149">
        <v>0</v>
      </c>
      <c r="AJ17" s="127">
        <v>-166438</v>
      </c>
      <c r="AK17" s="190">
        <v>-85055.589000000007</v>
      </c>
      <c r="AL17" s="156">
        <v>79650</v>
      </c>
      <c r="AM17" s="149">
        <v>242356</v>
      </c>
      <c r="AN17" s="179">
        <v>-57780000</v>
      </c>
      <c r="AO17" s="127">
        <v>0</v>
      </c>
      <c r="AP17" s="156">
        <v>11611000</v>
      </c>
      <c r="AQ17" s="149">
        <v>-33003000</v>
      </c>
      <c r="AR17" s="149">
        <v>-35746000</v>
      </c>
      <c r="AS17" s="239">
        <v>-3333398</v>
      </c>
      <c r="AT17" s="127">
        <v>-2865149</v>
      </c>
      <c r="AU17" s="250">
        <v>612599</v>
      </c>
      <c r="AV17" s="250">
        <v>804428</v>
      </c>
      <c r="AW17" s="239">
        <v>105505</v>
      </c>
      <c r="AX17" s="127">
        <v>214382</v>
      </c>
      <c r="AY17" s="127">
        <v>0</v>
      </c>
      <c r="AZ17" s="127"/>
      <c r="BA17" s="245">
        <v>-3137230</v>
      </c>
      <c r="BB17" s="245">
        <v>-13270732</v>
      </c>
      <c r="BC17" s="239">
        <v>551686</v>
      </c>
      <c r="BD17" s="127">
        <v>-1819812</v>
      </c>
      <c r="BE17" s="245">
        <v>242356</v>
      </c>
      <c r="BF17" s="127">
        <v>255693</v>
      </c>
      <c r="BG17" s="250">
        <v>0</v>
      </c>
      <c r="BH17" s="127">
        <v>0</v>
      </c>
      <c r="BI17" s="245">
        <v>-35746000</v>
      </c>
      <c r="BJ17" s="127">
        <v>-39097000</v>
      </c>
      <c r="BK17" s="127">
        <v>-2865149</v>
      </c>
      <c r="BL17" s="127">
        <v>-2138895</v>
      </c>
      <c r="BM17" s="308">
        <v>758605</v>
      </c>
      <c r="BN17" s="308">
        <v>796363</v>
      </c>
      <c r="BO17" s="127">
        <v>214382</v>
      </c>
      <c r="BP17" s="127">
        <v>384118</v>
      </c>
      <c r="BQ17" s="303">
        <v>-13270732</v>
      </c>
      <c r="BR17" s="303">
        <v>-18001880</v>
      </c>
      <c r="BS17" s="127">
        <v>-1819812</v>
      </c>
      <c r="BT17" s="127">
        <v>4339621</v>
      </c>
      <c r="BU17" s="127">
        <v>255693</v>
      </c>
      <c r="BV17" s="127">
        <v>269956</v>
      </c>
      <c r="BW17" s="127">
        <v>0</v>
      </c>
      <c r="BX17" s="127">
        <v>79930</v>
      </c>
      <c r="BY17" s="127">
        <v>-39097000</v>
      </c>
      <c r="BZ17" s="127">
        <v>-41840000</v>
      </c>
      <c r="CA17" s="415">
        <v>-2138895</v>
      </c>
      <c r="CB17" s="415">
        <f>-1855148+27744</f>
        <v>-1827404</v>
      </c>
      <c r="CC17" s="418">
        <v>796363</v>
      </c>
      <c r="CD17" s="418">
        <v>901895</v>
      </c>
      <c r="CE17" s="415">
        <v>384117</v>
      </c>
      <c r="CF17" s="415">
        <v>949443</v>
      </c>
      <c r="CG17" s="419">
        <f>-30816748-CG16</f>
        <v>-16069594</v>
      </c>
      <c r="CH17" s="419">
        <f>-33143337-CH16</f>
        <v>-30816748</v>
      </c>
      <c r="CI17" s="415">
        <v>4339621</v>
      </c>
      <c r="CJ17" s="415">
        <v>6302463</v>
      </c>
      <c r="CK17" s="415">
        <v>269956</v>
      </c>
      <c r="CL17" s="415"/>
      <c r="CM17" s="415">
        <v>79930</v>
      </c>
      <c r="CN17" s="415">
        <v>-50431</v>
      </c>
      <c r="CO17" s="415">
        <f>83627000-CO16</f>
        <v>15235000</v>
      </c>
      <c r="CP17" s="415">
        <f>221328000-CP16</f>
        <v>83953000</v>
      </c>
      <c r="CQ17" s="127">
        <v>-1827404</v>
      </c>
      <c r="CR17" s="127">
        <v>2074346</v>
      </c>
      <c r="CS17" s="127">
        <v>2969334</v>
      </c>
      <c r="CT17" s="127">
        <v>2515246</v>
      </c>
      <c r="CU17" s="127">
        <v>2003002</v>
      </c>
      <c r="CV17" s="127">
        <v>2405888</v>
      </c>
      <c r="CW17" s="461">
        <v>-30816748</v>
      </c>
      <c r="CX17" s="127">
        <v>-33143337</v>
      </c>
      <c r="CY17" s="127">
        <v>29412255</v>
      </c>
      <c r="CZ17" s="127">
        <v>24635512</v>
      </c>
      <c r="DA17" s="127"/>
      <c r="DB17" s="127">
        <v>126536</v>
      </c>
      <c r="DC17" s="127">
        <v>-172658</v>
      </c>
      <c r="DD17" s="127">
        <v>-50529</v>
      </c>
      <c r="DE17" s="127">
        <v>83953000</v>
      </c>
      <c r="DF17" s="127">
        <v>210445000</v>
      </c>
      <c r="DG17" s="127">
        <v>2220173</v>
      </c>
      <c r="DH17" s="127">
        <v>2220172</v>
      </c>
      <c r="DI17" s="127">
        <v>2515246</v>
      </c>
      <c r="DJ17" s="127">
        <v>2650090</v>
      </c>
      <c r="DK17" s="127">
        <v>2405888</v>
      </c>
      <c r="DL17" s="127">
        <v>2568769</v>
      </c>
      <c r="DM17" s="474">
        <v>-33143337</v>
      </c>
      <c r="DN17" s="127">
        <v>-35580828</v>
      </c>
      <c r="DO17" s="127">
        <v>24635512</v>
      </c>
      <c r="DP17" s="127">
        <v>24103590</v>
      </c>
      <c r="DQ17" s="127">
        <v>126536</v>
      </c>
      <c r="DR17" s="127"/>
      <c r="DS17" s="127">
        <v>-50529</v>
      </c>
      <c r="DT17" s="127"/>
      <c r="DU17" s="127">
        <v>210445000</v>
      </c>
      <c r="DV17" s="127">
        <v>352274583</v>
      </c>
      <c r="DW17" s="438">
        <v>2038362</v>
      </c>
      <c r="DX17" s="438">
        <v>235056</v>
      </c>
      <c r="DY17" s="438">
        <v>2650090</v>
      </c>
      <c r="DZ17" s="438">
        <v>2710884</v>
      </c>
      <c r="EA17" s="438">
        <f>2568770</f>
        <v>2568770</v>
      </c>
      <c r="EB17" s="438">
        <v>3201359</v>
      </c>
      <c r="EC17" s="438">
        <f>-26207210-EC16</f>
        <v>-37276667</v>
      </c>
      <c r="ED17" s="438">
        <f>-25664985-ED16</f>
        <v>-29458696</v>
      </c>
      <c r="EE17" s="438">
        <v>24103542</v>
      </c>
      <c r="EF17" s="438">
        <v>24703544</v>
      </c>
      <c r="EG17" s="438"/>
      <c r="EH17" s="438"/>
      <c r="EI17" s="438"/>
      <c r="EJ17" s="438"/>
      <c r="EK17" s="438">
        <f>355602284-EK16</f>
        <v>296479329</v>
      </c>
      <c r="EL17" s="814">
        <f>456889205-EL16</f>
        <v>355933221</v>
      </c>
      <c r="EM17" s="823">
        <v>1161538</v>
      </c>
      <c r="EN17" s="824">
        <v>1354087</v>
      </c>
      <c r="EO17" s="668">
        <v>2084053</v>
      </c>
      <c r="EP17" s="668">
        <v>1407906</v>
      </c>
      <c r="EQ17" s="825">
        <v>-33590707</v>
      </c>
      <c r="ER17" s="825">
        <v>-42281987</v>
      </c>
      <c r="ES17" s="826">
        <v>25069572</v>
      </c>
      <c r="ET17" s="826">
        <v>23550489</v>
      </c>
      <c r="EU17" s="823">
        <v>4951738</v>
      </c>
      <c r="EV17" s="823">
        <v>5103618</v>
      </c>
      <c r="EW17" s="606">
        <v>271595120</v>
      </c>
      <c r="EX17" s="606">
        <v>564864752</v>
      </c>
      <c r="EY17" s="605"/>
      <c r="EZ17" s="605"/>
      <c r="FA17" s="605"/>
      <c r="FB17" s="605"/>
      <c r="FC17" s="605"/>
      <c r="FD17" s="605"/>
      <c r="FE17" s="605"/>
      <c r="FF17" s="605"/>
      <c r="FG17" s="605"/>
      <c r="FH17" s="605"/>
      <c r="FI17" s="605"/>
      <c r="FJ17" s="616"/>
      <c r="FK17" s="605"/>
      <c r="FL17" s="605"/>
      <c r="FM17" s="605"/>
      <c r="FN17" s="605"/>
      <c r="FO17" s="605"/>
      <c r="FP17" s="605"/>
    </row>
    <row r="18" spans="1:172" x14ac:dyDescent="0.25">
      <c r="A18" s="69" t="s">
        <v>20</v>
      </c>
      <c r="B18" s="175">
        <v>6338396.0279999999</v>
      </c>
      <c r="C18" s="114">
        <v>6385140.523</v>
      </c>
      <c r="D18" s="152">
        <v>6460712.3489999995</v>
      </c>
      <c r="E18" s="152">
        <v>8023436</v>
      </c>
      <c r="F18" s="115">
        <v>8121580</v>
      </c>
      <c r="G18" s="114">
        <v>970962</v>
      </c>
      <c r="H18" s="152">
        <v>1048491</v>
      </c>
      <c r="I18" s="152">
        <v>1048490</v>
      </c>
      <c r="J18" s="114">
        <v>445245.19500000001</v>
      </c>
      <c r="K18" s="114">
        <v>445245.19500000001</v>
      </c>
      <c r="L18" s="152">
        <v>445245.19500000001</v>
      </c>
      <c r="M18" s="152">
        <v>447872</v>
      </c>
      <c r="N18" s="115">
        <v>452060</v>
      </c>
      <c r="O18" s="114">
        <v>0</v>
      </c>
      <c r="P18" s="114">
        <v>184889</v>
      </c>
      <c r="Q18" s="114">
        <v>232451</v>
      </c>
      <c r="R18" s="114">
        <v>189329</v>
      </c>
      <c r="S18" s="114"/>
      <c r="T18" s="152">
        <v>0</v>
      </c>
      <c r="U18" s="121">
        <v>0.40899999999999997</v>
      </c>
      <c r="V18" s="152">
        <v>0</v>
      </c>
      <c r="W18" s="152">
        <v>0</v>
      </c>
      <c r="X18" s="145">
        <v>17780404</v>
      </c>
      <c r="Y18" s="175">
        <v>30589209</v>
      </c>
      <c r="Z18" s="114">
        <v>25677.486000000001</v>
      </c>
      <c r="AA18" s="152">
        <v>25677486</v>
      </c>
      <c r="AB18" s="152">
        <v>25376548</v>
      </c>
      <c r="AC18" s="115">
        <v>19033321</v>
      </c>
      <c r="AD18" s="114">
        <v>0</v>
      </c>
      <c r="AE18" s="114">
        <v>1028139.502</v>
      </c>
      <c r="AF18" s="166">
        <v>1059007.2849999999</v>
      </c>
      <c r="AG18" s="152">
        <v>196864</v>
      </c>
      <c r="AH18" s="152">
        <v>129814</v>
      </c>
      <c r="AI18" s="145">
        <v>0</v>
      </c>
      <c r="AJ18" s="114">
        <v>261947</v>
      </c>
      <c r="AK18" s="186">
        <v>261947</v>
      </c>
      <c r="AL18" s="152">
        <v>261948</v>
      </c>
      <c r="AM18" s="145">
        <v>224268</v>
      </c>
      <c r="AN18" s="175">
        <v>63768000</v>
      </c>
      <c r="AO18" s="114">
        <v>110476000</v>
      </c>
      <c r="AP18" s="152">
        <v>100635000</v>
      </c>
      <c r="AQ18" s="145">
        <v>109729000</v>
      </c>
      <c r="AR18" s="145">
        <v>100352000</v>
      </c>
      <c r="AS18" s="236">
        <v>8121580</v>
      </c>
      <c r="AT18" s="114">
        <v>8220470</v>
      </c>
      <c r="AU18" s="247">
        <v>1048490</v>
      </c>
      <c r="AV18" s="247">
        <v>1048490</v>
      </c>
      <c r="AW18" s="236">
        <v>452060</v>
      </c>
      <c r="AX18" s="114">
        <v>448291</v>
      </c>
      <c r="AY18" s="114">
        <v>0</v>
      </c>
      <c r="AZ18" s="114"/>
      <c r="BA18" s="241">
        <v>17780404</v>
      </c>
      <c r="BB18" s="241">
        <v>17855180</v>
      </c>
      <c r="BC18" s="236">
        <v>19033321</v>
      </c>
      <c r="BD18" s="114">
        <v>18732383</v>
      </c>
      <c r="BE18" s="241">
        <v>224268</v>
      </c>
      <c r="BF18" s="114">
        <v>248054</v>
      </c>
      <c r="BG18" s="247">
        <v>129814</v>
      </c>
      <c r="BH18" s="114">
        <v>132747</v>
      </c>
      <c r="BI18" s="241">
        <v>100352000</v>
      </c>
      <c r="BJ18" s="114">
        <v>99248000</v>
      </c>
      <c r="BK18" s="114">
        <v>8220470</v>
      </c>
      <c r="BL18" s="114">
        <v>3099357</v>
      </c>
      <c r="BM18" s="305">
        <v>1048490</v>
      </c>
      <c r="BN18" s="305">
        <v>1048491</v>
      </c>
      <c r="BO18" s="114">
        <v>448291</v>
      </c>
      <c r="BP18" s="114">
        <v>448291</v>
      </c>
      <c r="BQ18" s="300">
        <v>17855180</v>
      </c>
      <c r="BR18" s="300">
        <v>38300567</v>
      </c>
      <c r="BS18" s="114">
        <v>18732383</v>
      </c>
      <c r="BT18" s="114">
        <v>17748245</v>
      </c>
      <c r="BU18" s="114">
        <v>248054</v>
      </c>
      <c r="BV18" s="114">
        <v>254702</v>
      </c>
      <c r="BW18" s="114">
        <v>132747</v>
      </c>
      <c r="BX18" s="114">
        <v>150509</v>
      </c>
      <c r="BY18" s="114">
        <v>99248000</v>
      </c>
      <c r="BZ18" s="114">
        <v>257574000</v>
      </c>
      <c r="CA18" s="405">
        <v>3099357</v>
      </c>
      <c r="CB18" s="405">
        <f>78+3309117</f>
        <v>3309195</v>
      </c>
      <c r="CC18" s="406">
        <v>1048491</v>
      </c>
      <c r="CD18" s="406">
        <f>100468+948022</f>
        <v>1048490</v>
      </c>
      <c r="CE18" s="405">
        <f>76474+436026</f>
        <v>512500</v>
      </c>
      <c r="CF18" s="405">
        <f>88834+436025</f>
        <v>524859</v>
      </c>
      <c r="CG18" s="407">
        <f>38179990+6834104</f>
        <v>45014094</v>
      </c>
      <c r="CH18" s="407">
        <f>38179990+13852855</f>
        <v>52032845</v>
      </c>
      <c r="CI18" s="405">
        <v>17748245</v>
      </c>
      <c r="CJ18" s="405">
        <f>3446569+5272158+2420590+10751784</f>
        <v>21891101</v>
      </c>
      <c r="CK18" s="405">
        <v>254702</v>
      </c>
      <c r="CL18" s="405"/>
      <c r="CM18" s="405">
        <v>150509</v>
      </c>
      <c r="CN18" s="405">
        <v>150509</v>
      </c>
      <c r="CO18" s="405">
        <f>26565000+55876000</f>
        <v>82441000</v>
      </c>
      <c r="CP18" s="405">
        <f>26565000+193060000</f>
        <v>219625000</v>
      </c>
      <c r="CQ18" s="114">
        <v>3309195</v>
      </c>
      <c r="CR18" s="114">
        <v>3499470</v>
      </c>
      <c r="CS18" s="114">
        <v>100470</v>
      </c>
      <c r="CT18" s="114">
        <v>100470</v>
      </c>
      <c r="CU18" s="114">
        <v>88834</v>
      </c>
      <c r="CV18" s="114">
        <v>113644</v>
      </c>
      <c r="CW18" s="457">
        <v>52032845</v>
      </c>
      <c r="CX18" s="114">
        <v>49447266</v>
      </c>
      <c r="CY18" s="114"/>
      <c r="CZ18" s="114">
        <v>8799886</v>
      </c>
      <c r="DA18" s="114"/>
      <c r="DB18" s="114">
        <v>261948</v>
      </c>
      <c r="DC18" s="114">
        <v>150511</v>
      </c>
      <c r="DD18" s="114">
        <v>2213429</v>
      </c>
      <c r="DE18" s="114">
        <v>219625000</v>
      </c>
      <c r="DF18" s="114">
        <v>187395000</v>
      </c>
      <c r="DG18" s="114">
        <v>2229599</v>
      </c>
      <c r="DH18" s="114">
        <v>2063244</v>
      </c>
      <c r="DI18" s="114">
        <v>100470</v>
      </c>
      <c r="DJ18" s="114">
        <v>100469</v>
      </c>
      <c r="DK18" s="114">
        <v>113644</v>
      </c>
      <c r="DL18" s="114">
        <v>134752</v>
      </c>
      <c r="DM18" s="470">
        <v>49447266</v>
      </c>
      <c r="DN18" s="114">
        <v>50027449</v>
      </c>
      <c r="DO18" s="114">
        <v>8799886</v>
      </c>
      <c r="DP18" s="114">
        <v>9814541</v>
      </c>
      <c r="DQ18" s="114">
        <v>261948</v>
      </c>
      <c r="DR18" s="114"/>
      <c r="DS18" s="114">
        <v>2213429</v>
      </c>
      <c r="DT18" s="114"/>
      <c r="DU18" s="114">
        <v>187395000</v>
      </c>
      <c r="DV18" s="114">
        <v>184368894</v>
      </c>
      <c r="DW18" s="438">
        <f>77+24814+2220174</f>
        <v>2245065</v>
      </c>
      <c r="DX18" s="438">
        <f>77+24814+2220174</f>
        <v>2245065</v>
      </c>
      <c r="DY18" s="438">
        <v>100469</v>
      </c>
      <c r="DZ18" s="438">
        <v>10469</v>
      </c>
      <c r="EA18" s="438">
        <v>134751</v>
      </c>
      <c r="EB18" s="438">
        <v>153882</v>
      </c>
      <c r="EC18" s="438">
        <f>38179990+1116065+11847050</f>
        <v>51143105</v>
      </c>
      <c r="ED18" s="438">
        <f>38179990+1116065+15100106</f>
        <v>54396161</v>
      </c>
      <c r="EE18" s="438">
        <v>9814588</v>
      </c>
      <c r="EF18" s="438">
        <v>9934655</v>
      </c>
      <c r="EG18" s="438"/>
      <c r="EH18" s="438"/>
      <c r="EI18" s="438"/>
      <c r="EJ18" s="438"/>
      <c r="EK18" s="438">
        <f>26564531+65620772-9825518+157804363</f>
        <v>240164148</v>
      </c>
      <c r="EL18" s="814">
        <f>26564531+65620772-10405999+237599406</f>
        <v>319378710</v>
      </c>
      <c r="EM18" s="837">
        <f>+EM16+EM17</f>
        <v>1345699</v>
      </c>
      <c r="EN18" s="837">
        <f t="shared" ref="EN18:EX18" si="4">+EN16+EN17</f>
        <v>1338773</v>
      </c>
      <c r="EO18" s="837">
        <f t="shared" si="4"/>
        <v>1408919</v>
      </c>
      <c r="EP18" s="837">
        <f t="shared" si="4"/>
        <v>2090187</v>
      </c>
      <c r="EQ18" s="837">
        <f t="shared" si="4"/>
        <v>-41516429</v>
      </c>
      <c r="ER18" s="837">
        <f t="shared" si="4"/>
        <v>-50888240</v>
      </c>
      <c r="ES18" s="837">
        <f t="shared" si="4"/>
        <v>26548294</v>
      </c>
      <c r="ET18" s="837">
        <f t="shared" si="4"/>
        <v>25052588</v>
      </c>
      <c r="EU18" s="837">
        <f t="shared" si="4"/>
        <v>5120493</v>
      </c>
      <c r="EV18" s="837">
        <f t="shared" si="4"/>
        <v>7656962</v>
      </c>
      <c r="EW18" s="837">
        <f t="shared" si="4"/>
        <v>86301035</v>
      </c>
      <c r="EX18" s="837">
        <f t="shared" si="4"/>
        <v>858134384</v>
      </c>
      <c r="EY18" s="763">
        <v>10755891252</v>
      </c>
      <c r="EZ18" s="763">
        <v>14501793072</v>
      </c>
      <c r="FA18" s="763">
        <v>1335507694</v>
      </c>
      <c r="FB18" s="763">
        <v>666855146</v>
      </c>
      <c r="FC18" s="763">
        <v>2423457575</v>
      </c>
      <c r="FD18" s="763">
        <v>2747479566</v>
      </c>
      <c r="FE18" s="763">
        <v>490614355</v>
      </c>
      <c r="FF18" s="763">
        <v>530185089</v>
      </c>
      <c r="FG18" s="763">
        <v>42149427479</v>
      </c>
      <c r="FH18" s="763">
        <v>18205433452</v>
      </c>
      <c r="FI18" s="763">
        <v>575962145</v>
      </c>
      <c r="FJ18" s="839">
        <v>907306594</v>
      </c>
      <c r="FK18" s="637">
        <v>907306594000</v>
      </c>
      <c r="FL18" s="637">
        <v>462971574000</v>
      </c>
      <c r="FM18" s="637">
        <v>530185089000</v>
      </c>
      <c r="FN18" s="637">
        <v>400513167000</v>
      </c>
      <c r="FO18" s="637">
        <v>2747479566</v>
      </c>
      <c r="FP18" s="637">
        <v>2382139738</v>
      </c>
    </row>
    <row r="19" spans="1:172" ht="15.75" thickBot="1" x14ac:dyDescent="0.3">
      <c r="A19" s="71" t="s">
        <v>21</v>
      </c>
      <c r="B19" s="176">
        <v>7542470.9040000001</v>
      </c>
      <c r="C19" s="118">
        <v>7535552.3030000003</v>
      </c>
      <c r="D19" s="153">
        <v>5769911.0519999992</v>
      </c>
      <c r="E19" s="153">
        <v>5190038</v>
      </c>
      <c r="F19" s="119">
        <v>5756431</v>
      </c>
      <c r="G19" s="118">
        <v>912027</v>
      </c>
      <c r="H19" s="153">
        <v>1728916</v>
      </c>
      <c r="I19" s="153">
        <v>1916864</v>
      </c>
      <c r="J19" s="118">
        <v>736102.42500000005</v>
      </c>
      <c r="K19" s="118">
        <v>750170.42500000005</v>
      </c>
      <c r="L19" s="153">
        <v>762377.076</v>
      </c>
      <c r="M19" s="153">
        <v>766566</v>
      </c>
      <c r="N19" s="119">
        <v>869658</v>
      </c>
      <c r="O19" s="118">
        <v>0</v>
      </c>
      <c r="P19" s="118">
        <v>2395690</v>
      </c>
      <c r="Q19" s="118">
        <v>1265128</v>
      </c>
      <c r="R19" s="118">
        <v>-2262625</v>
      </c>
      <c r="S19" s="118">
        <v>0</v>
      </c>
      <c r="T19" s="153">
        <v>1619344</v>
      </c>
      <c r="U19" s="120">
        <v>1354241.409</v>
      </c>
      <c r="V19" s="153">
        <v>2632961</v>
      </c>
      <c r="W19" s="153">
        <v>-1360047</v>
      </c>
      <c r="X19" s="146">
        <v>6286452</v>
      </c>
      <c r="Y19" s="176">
        <v>44241487</v>
      </c>
      <c r="Z19" s="118">
        <v>37317.770000000004</v>
      </c>
      <c r="AA19" s="153">
        <v>35913053</v>
      </c>
      <c r="AB19" s="153">
        <v>33928233</v>
      </c>
      <c r="AC19" s="119">
        <v>25213510</v>
      </c>
      <c r="AD19" s="118">
        <v>0</v>
      </c>
      <c r="AE19" s="118">
        <v>955485.21</v>
      </c>
      <c r="AF19" s="167">
        <v>1121525.0090000001</v>
      </c>
      <c r="AG19" s="153">
        <v>2885273</v>
      </c>
      <c r="AH19" s="153">
        <v>2132747</v>
      </c>
      <c r="AI19" s="146">
        <v>0</v>
      </c>
      <c r="AJ19" s="118">
        <v>736891.41099999996</v>
      </c>
      <c r="AK19" s="187">
        <v>994434.91700000002</v>
      </c>
      <c r="AL19" s="153">
        <v>1037225</v>
      </c>
      <c r="AM19" s="146">
        <v>1063747</v>
      </c>
      <c r="AN19" s="176">
        <v>107437000</v>
      </c>
      <c r="AO19" s="118">
        <v>119743000</v>
      </c>
      <c r="AP19" s="153">
        <v>86243000</v>
      </c>
      <c r="AQ19" s="146">
        <v>80983000</v>
      </c>
      <c r="AR19" s="146">
        <v>68255000</v>
      </c>
      <c r="AS19" s="237">
        <v>5756431</v>
      </c>
      <c r="AT19" s="118">
        <v>6132761</v>
      </c>
      <c r="AU19" s="248">
        <v>1916864</v>
      </c>
      <c r="AV19" s="248">
        <v>1991821</v>
      </c>
      <c r="AW19" s="237">
        <v>869658</v>
      </c>
      <c r="AX19" s="118">
        <v>1041408</v>
      </c>
      <c r="AY19" s="118">
        <v>0</v>
      </c>
      <c r="AZ19" s="118">
        <v>0</v>
      </c>
      <c r="BA19" s="242">
        <v>6286452</v>
      </c>
      <c r="BB19" s="242">
        <v>1630081</v>
      </c>
      <c r="BC19" s="237">
        <v>25213510</v>
      </c>
      <c r="BD19" s="118">
        <v>31299480</v>
      </c>
      <c r="BE19" s="242">
        <v>1063747</v>
      </c>
      <c r="BF19" s="118">
        <v>1080149</v>
      </c>
      <c r="BG19" s="248">
        <v>2132747</v>
      </c>
      <c r="BH19" s="118">
        <v>2221558</v>
      </c>
      <c r="BI19" s="242">
        <v>68255000</v>
      </c>
      <c r="BJ19" s="118">
        <v>64408000</v>
      </c>
      <c r="BK19" s="134">
        <v>6132761</v>
      </c>
      <c r="BL19" s="134">
        <v>5624233</v>
      </c>
      <c r="BM19" s="309">
        <v>1874852</v>
      </c>
      <c r="BN19" s="309">
        <v>1980386</v>
      </c>
      <c r="BO19" s="134">
        <v>1041408</v>
      </c>
      <c r="BP19" s="134">
        <v>1941652</v>
      </c>
      <c r="BQ19" s="304">
        <v>1630081</v>
      </c>
      <c r="BR19" s="304">
        <v>13018127</v>
      </c>
      <c r="BS19" s="134">
        <v>31299480</v>
      </c>
      <c r="BT19" s="134">
        <v>34053970</v>
      </c>
      <c r="BU19" s="134">
        <v>1080149</v>
      </c>
      <c r="BV19" s="134">
        <v>1125226</v>
      </c>
      <c r="BW19" s="134">
        <v>2221558</v>
      </c>
      <c r="BX19" s="134">
        <v>2100078</v>
      </c>
      <c r="BY19" s="134">
        <v>64408000</v>
      </c>
      <c r="BZ19" s="134">
        <v>212503000</v>
      </c>
      <c r="CA19" s="423">
        <v>5624233</v>
      </c>
      <c r="CB19" s="423">
        <f t="shared" ref="CB19:CP19" si="5">SUM(CB15:CB18)</f>
        <v>9735820</v>
      </c>
      <c r="CC19" s="424">
        <v>1980386</v>
      </c>
      <c r="CD19" s="424">
        <f t="shared" si="5"/>
        <v>2143913</v>
      </c>
      <c r="CE19" s="423">
        <f t="shared" si="5"/>
        <v>1683480</v>
      </c>
      <c r="CF19" s="423">
        <f t="shared" si="5"/>
        <v>1794544</v>
      </c>
      <c r="CG19" s="425">
        <f t="shared" si="5"/>
        <v>15974131</v>
      </c>
      <c r="CH19" s="425">
        <f t="shared" si="5"/>
        <v>20666293</v>
      </c>
      <c r="CI19" s="423">
        <v>34053970</v>
      </c>
      <c r="CJ19" s="423">
        <f t="shared" si="5"/>
        <v>37005170</v>
      </c>
      <c r="CK19" s="423">
        <v>1125226</v>
      </c>
      <c r="CL19" s="423">
        <f t="shared" si="5"/>
        <v>0</v>
      </c>
      <c r="CM19" s="423">
        <v>2100078</v>
      </c>
      <c r="CN19" s="423">
        <f t="shared" si="5"/>
        <v>2193272</v>
      </c>
      <c r="CO19" s="423">
        <f t="shared" si="5"/>
        <v>347055000</v>
      </c>
      <c r="CP19" s="423">
        <f t="shared" si="5"/>
        <v>621940000</v>
      </c>
      <c r="CQ19" s="134">
        <v>9735820</v>
      </c>
      <c r="CR19" s="134">
        <v>11473136</v>
      </c>
      <c r="CS19" s="134">
        <v>2645717</v>
      </c>
      <c r="CT19" s="134">
        <v>2622734</v>
      </c>
      <c r="CU19" s="134">
        <v>2531845</v>
      </c>
      <c r="CV19" s="134">
        <v>2892267</v>
      </c>
      <c r="CW19" s="463">
        <v>20666293</v>
      </c>
      <c r="CX19" s="134">
        <v>15643223</v>
      </c>
      <c r="CY19" s="134">
        <v>38223861</v>
      </c>
      <c r="CZ19" s="134">
        <v>43425830</v>
      </c>
      <c r="DA19" s="134">
        <v>0</v>
      </c>
      <c r="DB19" s="134">
        <v>1135200</v>
      </c>
      <c r="DC19" s="134">
        <v>2109301</v>
      </c>
      <c r="DD19" s="134">
        <v>3432785</v>
      </c>
      <c r="DE19" s="134">
        <v>621940000</v>
      </c>
      <c r="DF19" s="134">
        <v>722422000</v>
      </c>
      <c r="DG19" s="134">
        <v>11296517</v>
      </c>
      <c r="DH19" s="134">
        <v>8272241</v>
      </c>
      <c r="DI19" s="134">
        <v>2622734</v>
      </c>
      <c r="DJ19" s="134">
        <v>2652941</v>
      </c>
      <c r="DK19" s="134">
        <v>2892267</v>
      </c>
      <c r="DL19" s="134">
        <v>3545110</v>
      </c>
      <c r="DM19" s="476">
        <v>15643223</v>
      </c>
      <c r="DN19" s="134">
        <v>26712680</v>
      </c>
      <c r="DO19" s="134">
        <v>43425830</v>
      </c>
      <c r="DP19" s="134">
        <v>43118199</v>
      </c>
      <c r="DQ19" s="134">
        <v>1135200</v>
      </c>
      <c r="DR19" s="134">
        <v>0</v>
      </c>
      <c r="DS19" s="134">
        <v>3432785</v>
      </c>
      <c r="DT19" s="134">
        <v>0</v>
      </c>
      <c r="DU19" s="134">
        <v>722422000</v>
      </c>
      <c r="DV19" s="134">
        <v>776748432</v>
      </c>
      <c r="DW19" s="438">
        <f>+DW18+DW17+DW16+DW15</f>
        <v>8272241</v>
      </c>
      <c r="DX19" s="438">
        <f>+DX18+DX17+DX16+DX15</f>
        <v>8108946</v>
      </c>
      <c r="DY19" s="438">
        <f t="shared" ref="DY19:EL19" si="6">+DY18+DY17+DY16+DY15</f>
        <v>2652941</v>
      </c>
      <c r="DZ19" s="438">
        <f t="shared" si="6"/>
        <v>2934356</v>
      </c>
      <c r="EA19" s="438">
        <f t="shared" si="6"/>
        <v>3545110</v>
      </c>
      <c r="EB19" s="438">
        <f t="shared" si="6"/>
        <v>4124420</v>
      </c>
      <c r="EC19" s="438">
        <f t="shared" si="6"/>
        <v>26712680</v>
      </c>
      <c r="ED19" s="438">
        <f t="shared" si="6"/>
        <v>30507961</v>
      </c>
      <c r="EE19" s="438">
        <f t="shared" si="6"/>
        <v>43118198</v>
      </c>
      <c r="EF19" s="438">
        <f t="shared" si="6"/>
        <v>43044429</v>
      </c>
      <c r="EG19" s="438">
        <f t="shared" si="6"/>
        <v>0</v>
      </c>
      <c r="EH19" s="438">
        <f t="shared" si="6"/>
        <v>0</v>
      </c>
      <c r="EI19" s="438">
        <f t="shared" si="6"/>
        <v>0</v>
      </c>
      <c r="EJ19" s="438">
        <f t="shared" si="6"/>
        <v>0</v>
      </c>
      <c r="EK19" s="438">
        <f t="shared" si="6"/>
        <v>776748232</v>
      </c>
      <c r="EL19" s="814">
        <f t="shared" si="6"/>
        <v>957249715</v>
      </c>
      <c r="EM19" s="605"/>
      <c r="EN19" s="605"/>
      <c r="EO19" s="605"/>
      <c r="EP19" s="605"/>
      <c r="EQ19" s="605"/>
      <c r="ER19" s="605"/>
      <c r="ES19" s="605"/>
      <c r="ET19" s="605"/>
      <c r="EU19" s="605"/>
      <c r="EV19" s="605"/>
      <c r="EW19" s="605"/>
      <c r="EX19" s="605"/>
      <c r="EY19" s="605"/>
      <c r="EZ19" s="605"/>
      <c r="FA19" s="605"/>
      <c r="FB19" s="605"/>
      <c r="FC19" s="605"/>
      <c r="FD19" s="605"/>
      <c r="FE19" s="605"/>
      <c r="FF19" s="605"/>
      <c r="FG19" s="605"/>
      <c r="FH19" s="605"/>
      <c r="FI19" s="605"/>
      <c r="FJ19" s="616"/>
      <c r="FK19" s="605"/>
      <c r="FL19" s="605"/>
      <c r="FM19" s="605"/>
      <c r="FN19" s="605"/>
      <c r="FO19" s="605"/>
      <c r="FP19" s="605"/>
    </row>
    <row r="20" spans="1:172" ht="15.75" thickBot="1" x14ac:dyDescent="0.3">
      <c r="A20" s="71" t="s">
        <v>22</v>
      </c>
      <c r="B20" s="176">
        <v>11217759.352</v>
      </c>
      <c r="C20" s="118">
        <v>10217986.366</v>
      </c>
      <c r="D20" s="153">
        <v>10268375.793</v>
      </c>
      <c r="E20" s="153">
        <v>11812979</v>
      </c>
      <c r="F20" s="119">
        <v>13193361</v>
      </c>
      <c r="G20" s="118">
        <v>1190084</v>
      </c>
      <c r="H20" s="153">
        <v>2357107</v>
      </c>
      <c r="I20" s="153">
        <v>2371138</v>
      </c>
      <c r="J20" s="118">
        <v>737364.68700000003</v>
      </c>
      <c r="K20" s="118">
        <v>762335.40500000003</v>
      </c>
      <c r="L20" s="153">
        <v>767139.92799999996</v>
      </c>
      <c r="M20" s="153">
        <v>802020</v>
      </c>
      <c r="N20" s="119">
        <v>1124846</v>
      </c>
      <c r="O20" s="118">
        <v>0</v>
      </c>
      <c r="P20" s="118">
        <v>6325897</v>
      </c>
      <c r="Q20" s="118">
        <v>8767962</v>
      </c>
      <c r="R20" s="118">
        <v>7637668</v>
      </c>
      <c r="S20" s="118">
        <v>0</v>
      </c>
      <c r="T20" s="153">
        <v>3412472</v>
      </c>
      <c r="U20" s="120">
        <v>55274813.409000002</v>
      </c>
      <c r="V20" s="153">
        <v>125442232</v>
      </c>
      <c r="W20" s="153">
        <v>419661957</v>
      </c>
      <c r="X20" s="146">
        <v>264435649</v>
      </c>
      <c r="Y20" s="176">
        <v>56902701</v>
      </c>
      <c r="Z20" s="118">
        <v>46366.152000000002</v>
      </c>
      <c r="AA20" s="153">
        <v>46484827</v>
      </c>
      <c r="AB20" s="153">
        <v>47978282</v>
      </c>
      <c r="AC20" s="119">
        <v>38176817</v>
      </c>
      <c r="AD20" s="118">
        <v>0</v>
      </c>
      <c r="AE20" s="118">
        <v>4164764.912</v>
      </c>
      <c r="AF20" s="167">
        <v>3031286.483</v>
      </c>
      <c r="AG20" s="153">
        <v>4590107</v>
      </c>
      <c r="AH20" s="153">
        <v>3294915</v>
      </c>
      <c r="AI20" s="146">
        <v>0</v>
      </c>
      <c r="AJ20" s="118">
        <v>1307953.1919999998</v>
      </c>
      <c r="AK20" s="187">
        <v>1640083.3229999999</v>
      </c>
      <c r="AL20" s="153">
        <v>1866283</v>
      </c>
      <c r="AM20" s="146">
        <v>1844109</v>
      </c>
      <c r="AN20" s="176">
        <v>159874000</v>
      </c>
      <c r="AO20" s="118">
        <v>188019000</v>
      </c>
      <c r="AP20" s="153">
        <v>152867000</v>
      </c>
      <c r="AQ20" s="146">
        <v>213865000</v>
      </c>
      <c r="AR20" s="146">
        <v>385830000</v>
      </c>
      <c r="AS20" s="237">
        <v>13193361</v>
      </c>
      <c r="AT20" s="118">
        <v>12226647</v>
      </c>
      <c r="AU20" s="248">
        <v>2371138</v>
      </c>
      <c r="AV20" s="248">
        <v>3033475</v>
      </c>
      <c r="AW20" s="237">
        <v>1124846</v>
      </c>
      <c r="AX20" s="118">
        <v>1701445</v>
      </c>
      <c r="AY20" s="118">
        <v>0</v>
      </c>
      <c r="AZ20" s="118">
        <v>0</v>
      </c>
      <c r="BA20" s="242">
        <v>438978488</v>
      </c>
      <c r="BB20" s="242">
        <v>796036045</v>
      </c>
      <c r="BC20" s="237">
        <v>38176817</v>
      </c>
      <c r="BD20" s="118">
        <v>44200183</v>
      </c>
      <c r="BE20" s="242">
        <v>1844109</v>
      </c>
      <c r="BF20" s="118">
        <v>1700113</v>
      </c>
      <c r="BG20" s="248">
        <v>3294915</v>
      </c>
      <c r="BH20" s="118">
        <v>4469535</v>
      </c>
      <c r="BI20" s="242">
        <v>385830000</v>
      </c>
      <c r="BJ20" s="118">
        <v>610018000</v>
      </c>
      <c r="BK20" s="320">
        <v>12226647</v>
      </c>
      <c r="BL20" s="320">
        <v>11770833</v>
      </c>
      <c r="BM20" s="321">
        <v>2557560</v>
      </c>
      <c r="BN20" s="321">
        <v>3192793</v>
      </c>
      <c r="BO20" s="320">
        <v>1701445</v>
      </c>
      <c r="BP20" s="323">
        <v>7272780</v>
      </c>
      <c r="BQ20" s="322">
        <v>796036045</v>
      </c>
      <c r="BR20" s="322">
        <v>1117464513</v>
      </c>
      <c r="BS20" s="320">
        <v>44200183</v>
      </c>
      <c r="BT20" s="320">
        <v>47959806</v>
      </c>
      <c r="BU20" s="320">
        <v>1700113</v>
      </c>
      <c r="BV20" s="320">
        <v>1664880</v>
      </c>
      <c r="BW20" s="320">
        <v>4469535</v>
      </c>
      <c r="BX20" s="320">
        <v>8689716</v>
      </c>
      <c r="BY20" s="320">
        <v>610018000</v>
      </c>
      <c r="BZ20" s="320">
        <v>1463729000</v>
      </c>
      <c r="CA20" s="411">
        <v>11770833</v>
      </c>
      <c r="CB20" s="411">
        <f>+CB19+CB13</f>
        <v>15477719</v>
      </c>
      <c r="CC20" s="412">
        <v>3192793</v>
      </c>
      <c r="CD20" s="412">
        <f>+CD19+CD13</f>
        <v>3155228</v>
      </c>
      <c r="CE20" s="411">
        <f>+CE19+CE13</f>
        <v>7123295</v>
      </c>
      <c r="CF20" s="413">
        <f>+CF13+CF19</f>
        <v>8022559</v>
      </c>
      <c r="CG20" s="414">
        <f t="shared" ref="CG20:CP20" si="7">+CG19+CG13</f>
        <v>108755083</v>
      </c>
      <c r="CH20" s="414">
        <f t="shared" si="7"/>
        <v>169583184</v>
      </c>
      <c r="CI20" s="411">
        <v>47959806</v>
      </c>
      <c r="CJ20" s="411">
        <f t="shared" si="7"/>
        <v>46903475</v>
      </c>
      <c r="CK20" s="411">
        <v>1664880</v>
      </c>
      <c r="CL20" s="411">
        <f t="shared" si="7"/>
        <v>0</v>
      </c>
      <c r="CM20" s="411">
        <v>8689716</v>
      </c>
      <c r="CN20" s="411">
        <f t="shared" si="7"/>
        <v>7916481</v>
      </c>
      <c r="CO20" s="411">
        <f t="shared" si="7"/>
        <v>1562338000</v>
      </c>
      <c r="CP20" s="411">
        <f t="shared" si="7"/>
        <v>2299440000</v>
      </c>
      <c r="CQ20" s="320">
        <v>15483298</v>
      </c>
      <c r="CR20" s="320">
        <v>16782352</v>
      </c>
      <c r="CS20" s="320">
        <v>4054129</v>
      </c>
      <c r="CT20" s="320">
        <v>3554281</v>
      </c>
      <c r="CU20" s="320">
        <v>8799820</v>
      </c>
      <c r="CV20" s="320">
        <v>8302708</v>
      </c>
      <c r="CW20" s="459">
        <v>169583184</v>
      </c>
      <c r="CX20" s="320">
        <v>240364920</v>
      </c>
      <c r="CY20" s="320">
        <v>48122168</v>
      </c>
      <c r="CZ20" s="320">
        <v>61839922</v>
      </c>
      <c r="DA20" s="320">
        <v>0</v>
      </c>
      <c r="DB20" s="320">
        <v>1665092</v>
      </c>
      <c r="DC20" s="320">
        <v>7852215</v>
      </c>
      <c r="DD20" s="320">
        <v>7319975</v>
      </c>
      <c r="DE20" s="320">
        <v>2282332000</v>
      </c>
      <c r="DF20" s="320">
        <v>2179585000</v>
      </c>
      <c r="DG20" s="320">
        <v>16965970</v>
      </c>
      <c r="DH20" s="320">
        <v>21494637</v>
      </c>
      <c r="DI20" s="320">
        <v>3554281</v>
      </c>
      <c r="DJ20" s="320">
        <v>3423586</v>
      </c>
      <c r="DK20" s="320">
        <v>8302708</v>
      </c>
      <c r="DL20" s="320">
        <v>7190664</v>
      </c>
      <c r="DM20" s="472">
        <v>240364920</v>
      </c>
      <c r="DN20" s="320">
        <v>429825703</v>
      </c>
      <c r="DO20" s="320">
        <v>61839922</v>
      </c>
      <c r="DP20" s="320">
        <v>66139148</v>
      </c>
      <c r="DQ20" s="320">
        <v>1665092</v>
      </c>
      <c r="DR20" s="320">
        <v>0</v>
      </c>
      <c r="DS20" s="320">
        <v>7319975</v>
      </c>
      <c r="DT20" s="320">
        <v>0</v>
      </c>
      <c r="DU20" s="320">
        <v>2179585000</v>
      </c>
      <c r="DV20" s="320">
        <v>2183235632</v>
      </c>
      <c r="DW20" s="438">
        <f>+DW19+DW13</f>
        <v>21494637</v>
      </c>
      <c r="DX20" s="438">
        <f>+DX19+DX13</f>
        <v>21762206</v>
      </c>
      <c r="DY20" s="438">
        <f t="shared" ref="DY20:EL20" si="8">+DY19+DY13</f>
        <v>3423586</v>
      </c>
      <c r="DZ20" s="438">
        <f t="shared" si="8"/>
        <v>3502328</v>
      </c>
      <c r="EA20" s="438">
        <f t="shared" si="8"/>
        <v>7190664</v>
      </c>
      <c r="EB20" s="438">
        <f t="shared" si="8"/>
        <v>6636770</v>
      </c>
      <c r="EC20" s="438">
        <f t="shared" si="8"/>
        <v>429825703</v>
      </c>
      <c r="ED20" s="438">
        <f t="shared" si="8"/>
        <v>586999680</v>
      </c>
      <c r="EE20" s="438">
        <f t="shared" si="8"/>
        <v>66139147</v>
      </c>
      <c r="EF20" s="438">
        <f t="shared" si="8"/>
        <v>65506938</v>
      </c>
      <c r="EG20" s="438">
        <f t="shared" si="8"/>
        <v>0</v>
      </c>
      <c r="EH20" s="438">
        <f t="shared" si="8"/>
        <v>0</v>
      </c>
      <c r="EI20" s="438">
        <f t="shared" si="8"/>
        <v>0</v>
      </c>
      <c r="EJ20" s="438">
        <f t="shared" si="8"/>
        <v>0</v>
      </c>
      <c r="EK20" s="438">
        <f t="shared" si="8"/>
        <v>2183235432</v>
      </c>
      <c r="EL20" s="814">
        <f t="shared" si="8"/>
        <v>2500088939</v>
      </c>
      <c r="EM20" s="605"/>
      <c r="EN20" s="605"/>
      <c r="EO20" s="605"/>
      <c r="EP20" s="605"/>
      <c r="EQ20" s="605"/>
      <c r="ER20" s="605"/>
      <c r="ES20" s="605"/>
      <c r="ET20" s="605"/>
      <c r="EU20" s="605"/>
      <c r="EV20" s="605"/>
      <c r="EW20" s="605"/>
      <c r="EX20" s="605"/>
      <c r="EY20" s="605"/>
      <c r="EZ20" s="605"/>
      <c r="FA20" s="605"/>
      <c r="FB20" s="605"/>
      <c r="FC20" s="605"/>
      <c r="FD20" s="605"/>
      <c r="FE20" s="605"/>
      <c r="FF20" s="605"/>
      <c r="FG20" s="605"/>
      <c r="FH20" s="605"/>
      <c r="FI20" s="605"/>
      <c r="FJ20" s="616"/>
      <c r="FK20" s="605"/>
      <c r="FL20" s="605"/>
      <c r="FM20" s="605"/>
      <c r="FN20" s="605"/>
      <c r="FO20" s="605"/>
      <c r="FP20" s="605"/>
    </row>
    <row r="21" spans="1:172" ht="15.75" x14ac:dyDescent="0.25">
      <c r="A21" s="70" t="s">
        <v>23</v>
      </c>
      <c r="B21" s="175"/>
      <c r="C21" s="114"/>
      <c r="D21" s="152"/>
      <c r="E21" s="152"/>
      <c r="F21" s="115"/>
      <c r="G21" s="114"/>
      <c r="H21" s="152"/>
      <c r="I21" s="152"/>
      <c r="J21" s="114"/>
      <c r="K21" s="114"/>
      <c r="L21" s="152"/>
      <c r="M21" s="152"/>
      <c r="N21" s="115">
        <v>0</v>
      </c>
      <c r="O21" s="114"/>
      <c r="P21" s="114"/>
      <c r="Q21" s="114"/>
      <c r="R21" s="114"/>
      <c r="S21" s="114"/>
      <c r="T21" s="152"/>
      <c r="U21" s="121"/>
      <c r="V21" s="152"/>
      <c r="W21" s="152"/>
      <c r="X21" s="145"/>
      <c r="Y21" s="175"/>
      <c r="Z21" s="114"/>
      <c r="AA21" s="152"/>
      <c r="AB21" s="152"/>
      <c r="AC21" s="115"/>
      <c r="AD21" s="114"/>
      <c r="AE21" s="114"/>
      <c r="AF21" s="166"/>
      <c r="AG21" s="152"/>
      <c r="AH21" s="152"/>
      <c r="AI21" s="145"/>
      <c r="AJ21" s="114"/>
      <c r="AK21" s="186"/>
      <c r="AL21" s="152"/>
      <c r="AM21" s="145"/>
      <c r="AN21" s="175"/>
      <c r="AO21" s="114"/>
      <c r="AP21" s="152"/>
      <c r="AQ21" s="145"/>
      <c r="AR21" s="145"/>
      <c r="AS21" s="236"/>
      <c r="AT21" s="114"/>
      <c r="AU21" s="247"/>
      <c r="AV21" s="247"/>
      <c r="AW21" s="236">
        <v>0</v>
      </c>
      <c r="AX21" s="114"/>
      <c r="AY21" s="114"/>
      <c r="AZ21" s="114"/>
      <c r="BA21" s="241"/>
      <c r="BB21" s="241"/>
      <c r="BC21" s="236"/>
      <c r="BD21" s="114"/>
      <c r="BE21" s="241"/>
      <c r="BF21" s="114"/>
      <c r="BG21" s="247"/>
      <c r="BH21" s="114"/>
      <c r="BI21" s="241"/>
      <c r="BJ21" s="114"/>
      <c r="BK21" s="127"/>
      <c r="BL21" s="127">
        <v>0</v>
      </c>
      <c r="BM21" s="308"/>
      <c r="BN21" s="308"/>
      <c r="BO21" s="127"/>
      <c r="BP21" s="127">
        <v>0</v>
      </c>
      <c r="BQ21" s="303"/>
      <c r="BR21" s="303"/>
      <c r="BS21" s="127"/>
      <c r="BT21" s="127"/>
      <c r="BU21" s="127"/>
      <c r="BV21" s="127"/>
      <c r="BW21" s="127"/>
      <c r="BX21" s="127"/>
      <c r="BY21" s="127"/>
      <c r="BZ21" s="127"/>
      <c r="CA21" s="415">
        <v>0</v>
      </c>
      <c r="CB21" s="415"/>
      <c r="CC21" s="418"/>
      <c r="CD21" s="418"/>
      <c r="CE21" s="415"/>
      <c r="CF21" s="415"/>
      <c r="CG21" s="419"/>
      <c r="CH21" s="419"/>
      <c r="CI21" s="415"/>
      <c r="CJ21" s="415"/>
      <c r="CK21" s="415"/>
      <c r="CL21" s="415"/>
      <c r="CM21" s="415"/>
      <c r="CN21" s="415"/>
      <c r="CO21" s="415"/>
      <c r="CP21" s="415"/>
      <c r="CQ21" s="127"/>
      <c r="CR21" s="127"/>
      <c r="CS21" s="127"/>
      <c r="CT21" s="127"/>
      <c r="CU21" s="127"/>
      <c r="CV21" s="127"/>
      <c r="CW21" s="461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474"/>
      <c r="DN21" s="127"/>
      <c r="DO21" s="127"/>
      <c r="DP21" s="127"/>
      <c r="DQ21" s="127"/>
      <c r="DR21" s="127"/>
      <c r="DS21" s="127"/>
      <c r="DT21" s="127"/>
      <c r="DU21" s="127"/>
      <c r="DV21" s="127"/>
      <c r="DW21" s="441"/>
      <c r="DX21" s="441"/>
      <c r="DY21" s="441"/>
      <c r="DZ21" s="441"/>
      <c r="EA21" s="441"/>
      <c r="EB21" s="441"/>
      <c r="EC21" s="441"/>
      <c r="ED21" s="441"/>
      <c r="EE21" s="441"/>
      <c r="EF21" s="441"/>
      <c r="EG21" s="441"/>
      <c r="EH21" s="441"/>
      <c r="EI21" s="441"/>
      <c r="EJ21" s="441"/>
      <c r="EK21" s="441"/>
      <c r="EL21" s="815"/>
      <c r="EM21" s="605"/>
      <c r="EN21" s="605"/>
      <c r="EO21" s="605"/>
      <c r="EP21" s="605"/>
      <c r="EQ21" s="605"/>
      <c r="ER21" s="605"/>
      <c r="ES21" s="605"/>
      <c r="ET21" s="605"/>
      <c r="EU21" s="605"/>
      <c r="EV21" s="605"/>
      <c r="EW21" s="605"/>
      <c r="EX21" s="605"/>
      <c r="EY21" s="605"/>
      <c r="EZ21" s="605"/>
      <c r="FA21" s="605"/>
      <c r="FB21" s="605"/>
      <c r="FC21" s="605"/>
      <c r="FD21" s="605"/>
      <c r="FE21" s="605"/>
      <c r="FF21" s="605"/>
      <c r="FG21" s="605"/>
      <c r="FH21" s="605"/>
      <c r="FI21" s="605"/>
      <c r="FJ21" s="616"/>
      <c r="FK21" s="605"/>
      <c r="FL21" s="605"/>
      <c r="FM21" s="605"/>
      <c r="FN21" s="605"/>
      <c r="FO21" s="605"/>
      <c r="FP21" s="605"/>
    </row>
    <row r="22" spans="1:172" x14ac:dyDescent="0.25">
      <c r="A22" s="71" t="s">
        <v>24</v>
      </c>
      <c r="B22" s="175"/>
      <c r="C22" s="114"/>
      <c r="D22" s="152"/>
      <c r="E22" s="152"/>
      <c r="F22" s="115"/>
      <c r="G22" s="117"/>
      <c r="H22" s="152"/>
      <c r="I22" s="152"/>
      <c r="J22" s="117"/>
      <c r="K22" s="114"/>
      <c r="L22" s="152"/>
      <c r="M22" s="152"/>
      <c r="N22" s="115"/>
      <c r="O22" s="117"/>
      <c r="P22" s="117"/>
      <c r="Q22" s="117"/>
      <c r="R22" s="117"/>
      <c r="S22" s="117"/>
      <c r="T22" s="152"/>
      <c r="U22" s="121"/>
      <c r="V22" s="152">
        <v>-379591</v>
      </c>
      <c r="W22" s="152"/>
      <c r="X22" s="145"/>
      <c r="Y22" s="183"/>
      <c r="Z22" s="114"/>
      <c r="AA22" s="152"/>
      <c r="AB22" s="152"/>
      <c r="AC22" s="115"/>
      <c r="AD22" s="117"/>
      <c r="AE22" s="114"/>
      <c r="AF22" s="166"/>
      <c r="AG22" s="152"/>
      <c r="AH22" s="152"/>
      <c r="AI22" s="145"/>
      <c r="AJ22" s="114"/>
      <c r="AK22" s="186"/>
      <c r="AL22" s="152"/>
      <c r="AM22" s="145"/>
      <c r="AN22" s="175"/>
      <c r="AO22" s="114"/>
      <c r="AP22" s="152"/>
      <c r="AQ22" s="145"/>
      <c r="AR22" s="145"/>
      <c r="AS22" s="236"/>
      <c r="AT22" s="114"/>
      <c r="AU22" s="247"/>
      <c r="AV22" s="247"/>
      <c r="AW22" s="236"/>
      <c r="AX22" s="114"/>
      <c r="AY22" s="117"/>
      <c r="AZ22" s="117"/>
      <c r="BA22" s="241"/>
      <c r="BB22" s="241"/>
      <c r="BC22" s="236"/>
      <c r="BD22" s="114"/>
      <c r="BE22" s="241"/>
      <c r="BF22" s="114"/>
      <c r="BG22" s="247"/>
      <c r="BH22" s="114"/>
      <c r="BI22" s="241"/>
      <c r="BJ22" s="114"/>
      <c r="BK22" s="114"/>
      <c r="BL22" s="114"/>
      <c r="BM22" s="305"/>
      <c r="BN22" s="305"/>
      <c r="BO22" s="114"/>
      <c r="BP22" s="114"/>
      <c r="BQ22" s="300"/>
      <c r="BR22" s="300"/>
      <c r="BS22" s="114"/>
      <c r="BT22" s="114"/>
      <c r="BU22" s="114"/>
      <c r="BV22" s="114"/>
      <c r="BW22" s="114"/>
      <c r="BX22" s="114"/>
      <c r="BY22" s="114"/>
      <c r="BZ22" s="114"/>
      <c r="CA22" s="405"/>
      <c r="CB22" s="405"/>
      <c r="CC22" s="406"/>
      <c r="CD22" s="406"/>
      <c r="CE22" s="405"/>
      <c r="CF22" s="405"/>
      <c r="CG22" s="407"/>
      <c r="CH22" s="407"/>
      <c r="CI22" s="405"/>
      <c r="CJ22" s="405"/>
      <c r="CK22" s="405"/>
      <c r="CL22" s="405"/>
      <c r="CM22" s="405"/>
      <c r="CN22" s="405"/>
      <c r="CO22" s="405"/>
      <c r="CP22" s="405"/>
      <c r="CQ22" s="114"/>
      <c r="CR22" s="114"/>
      <c r="CS22" s="114"/>
      <c r="CT22" s="114"/>
      <c r="CU22" s="114"/>
      <c r="CV22" s="114"/>
      <c r="CW22" s="457"/>
      <c r="CX22" s="114"/>
      <c r="CY22" s="114"/>
      <c r="CZ22" s="114"/>
      <c r="DA22" s="114"/>
      <c r="DB22" s="114"/>
      <c r="DC22" s="114"/>
      <c r="DD22" s="114"/>
      <c r="DE22" s="114"/>
      <c r="DF22" s="114"/>
      <c r="DG22" s="114"/>
      <c r="DH22" s="114"/>
      <c r="DI22" s="114"/>
      <c r="DJ22" s="114"/>
      <c r="DK22" s="114"/>
      <c r="DL22" s="114"/>
      <c r="DM22" s="470"/>
      <c r="DN22" s="114"/>
      <c r="DO22" s="114"/>
      <c r="DP22" s="114"/>
      <c r="DQ22" s="114"/>
      <c r="DR22" s="114"/>
      <c r="DS22" s="114"/>
      <c r="DT22" s="114"/>
      <c r="DU22" s="114"/>
      <c r="DV22" s="114"/>
      <c r="DW22" s="438"/>
      <c r="DX22" s="438"/>
      <c r="DY22" s="438"/>
      <c r="DZ22" s="438"/>
      <c r="EA22" s="438"/>
      <c r="EB22" s="438"/>
      <c r="EC22" s="438"/>
      <c r="ED22" s="438"/>
      <c r="EE22" s="438"/>
      <c r="EF22" s="438"/>
      <c r="EG22" s="438"/>
      <c r="EH22" s="438"/>
      <c r="EI22" s="438"/>
      <c r="EJ22" s="438"/>
      <c r="EK22" s="438"/>
      <c r="EL22" s="814"/>
      <c r="EM22" s="605"/>
      <c r="EN22" s="605"/>
      <c r="EO22" s="605"/>
      <c r="EP22" s="605"/>
      <c r="EQ22" s="605"/>
      <c r="ER22" s="605"/>
      <c r="ES22" s="605"/>
      <c r="ET22" s="605"/>
      <c r="EU22" s="605"/>
      <c r="EV22" s="605"/>
      <c r="EW22" s="605"/>
      <c r="EX22" s="605"/>
      <c r="EY22" s="605"/>
      <c r="EZ22" s="605"/>
      <c r="FA22" s="605"/>
      <c r="FB22" s="605"/>
      <c r="FC22" s="605"/>
      <c r="FD22" s="605"/>
      <c r="FE22" s="605"/>
      <c r="FF22" s="605"/>
      <c r="FG22" s="605"/>
      <c r="FH22" s="605"/>
      <c r="FI22" s="605"/>
      <c r="FJ22" s="616"/>
      <c r="FK22" s="605"/>
      <c r="FL22" s="605"/>
      <c r="FM22" s="605"/>
      <c r="FN22" s="605"/>
      <c r="FO22" s="605"/>
      <c r="FP22" s="605"/>
    </row>
    <row r="23" spans="1:172" x14ac:dyDescent="0.25">
      <c r="A23" s="72" t="s">
        <v>25</v>
      </c>
      <c r="B23" s="175">
        <v>50129226.511</v>
      </c>
      <c r="C23" s="114">
        <v>39318259.085000001</v>
      </c>
      <c r="D23" s="152">
        <v>38697428.82</v>
      </c>
      <c r="E23" s="152">
        <v>47170283</v>
      </c>
      <c r="F23" s="115">
        <v>48772534</v>
      </c>
      <c r="G23" s="114">
        <v>3217474</v>
      </c>
      <c r="H23" s="152">
        <v>4357238</v>
      </c>
      <c r="I23" s="152">
        <v>4603798</v>
      </c>
      <c r="J23" s="114">
        <v>110875</v>
      </c>
      <c r="K23" s="114">
        <v>790823.01399999997</v>
      </c>
      <c r="L23" s="152">
        <v>82500</v>
      </c>
      <c r="M23" s="152">
        <v>137415</v>
      </c>
      <c r="N23" s="115">
        <v>1379211</v>
      </c>
      <c r="O23" s="114">
        <v>0</v>
      </c>
      <c r="P23" s="114">
        <v>10077722</v>
      </c>
      <c r="Q23" s="114">
        <v>20077007</v>
      </c>
      <c r="R23" s="114">
        <v>27465336</v>
      </c>
      <c r="S23" s="114"/>
      <c r="T23" s="152">
        <v>0</v>
      </c>
      <c r="U23" s="121">
        <v>147090971</v>
      </c>
      <c r="V23" s="152">
        <v>324940924</v>
      </c>
      <c r="W23" s="152">
        <v>369430068</v>
      </c>
      <c r="X23" s="145">
        <v>363270813</v>
      </c>
      <c r="Y23" s="175">
        <v>89917627</v>
      </c>
      <c r="Z23" s="114">
        <v>49260.807000000001</v>
      </c>
      <c r="AA23" s="152">
        <v>55429043</v>
      </c>
      <c r="AB23" s="152">
        <v>61115384</v>
      </c>
      <c r="AC23" s="115">
        <v>45700851</v>
      </c>
      <c r="AD23" s="114">
        <v>0</v>
      </c>
      <c r="AE23" s="114">
        <v>11617261.027000001</v>
      </c>
      <c r="AF23" s="166">
        <v>7897982.3830000004</v>
      </c>
      <c r="AG23" s="152">
        <v>7547612</v>
      </c>
      <c r="AH23" s="152">
        <v>8111180</v>
      </c>
      <c r="AI23" s="145">
        <v>0</v>
      </c>
      <c r="AJ23" s="114">
        <v>4785766.1090000002</v>
      </c>
      <c r="AK23" s="186">
        <v>8708258.034</v>
      </c>
      <c r="AL23" s="152">
        <v>6654121</v>
      </c>
      <c r="AM23" s="145">
        <v>3252065</v>
      </c>
      <c r="AN23" s="175">
        <v>426762000</v>
      </c>
      <c r="AO23" s="114">
        <v>371318000</v>
      </c>
      <c r="AP23" s="152">
        <v>408216000</v>
      </c>
      <c r="AQ23" s="145">
        <v>469529000</v>
      </c>
      <c r="AR23" s="145">
        <v>500454000</v>
      </c>
      <c r="AS23" s="236">
        <v>48772534</v>
      </c>
      <c r="AT23" s="114">
        <v>49034179</v>
      </c>
      <c r="AU23" s="247">
        <v>4603798</v>
      </c>
      <c r="AV23" s="247">
        <v>5349513</v>
      </c>
      <c r="AW23" s="236">
        <v>1379211</v>
      </c>
      <c r="AX23" s="114">
        <v>5372194</v>
      </c>
      <c r="AY23" s="114">
        <v>0</v>
      </c>
      <c r="AZ23" s="114"/>
      <c r="BA23" s="241">
        <v>383815610</v>
      </c>
      <c r="BB23" s="241">
        <v>481216522</v>
      </c>
      <c r="BC23" s="236">
        <v>45700851</v>
      </c>
      <c r="BD23" s="114">
        <v>56691523</v>
      </c>
      <c r="BE23" s="241">
        <v>3252065</v>
      </c>
      <c r="BF23" s="114">
        <v>1316652</v>
      </c>
      <c r="BG23" s="247">
        <v>8111180</v>
      </c>
      <c r="BH23" s="114">
        <v>7973530</v>
      </c>
      <c r="BI23" s="241">
        <v>500454000</v>
      </c>
      <c r="BJ23" s="114">
        <v>667686000</v>
      </c>
      <c r="BK23" s="114">
        <v>49034179</v>
      </c>
      <c r="BL23" s="114">
        <v>47676439</v>
      </c>
      <c r="BM23" s="305">
        <v>5349513</v>
      </c>
      <c r="BN23" s="305">
        <v>5392914</v>
      </c>
      <c r="BO23" s="114">
        <v>5372194</v>
      </c>
      <c r="BP23" s="114">
        <v>6140892</v>
      </c>
      <c r="BQ23" s="300">
        <v>481216522</v>
      </c>
      <c r="BR23" s="300">
        <v>425333372</v>
      </c>
      <c r="BS23" s="114">
        <v>56691523</v>
      </c>
      <c r="BT23" s="114">
        <v>41473913</v>
      </c>
      <c r="BU23" s="114">
        <v>1316652</v>
      </c>
      <c r="BV23" s="114">
        <v>2159792</v>
      </c>
      <c r="BW23" s="114">
        <v>7973530</v>
      </c>
      <c r="BX23" s="114">
        <v>12674006</v>
      </c>
      <c r="BY23" s="114">
        <v>667686000</v>
      </c>
      <c r="BZ23" s="114">
        <v>829510000</v>
      </c>
      <c r="CA23" s="405">
        <v>47676439</v>
      </c>
      <c r="CB23" s="405">
        <v>52655360</v>
      </c>
      <c r="CC23" s="406">
        <v>5392914</v>
      </c>
      <c r="CD23" s="406">
        <v>6364460</v>
      </c>
      <c r="CE23" s="405">
        <v>6139648</v>
      </c>
      <c r="CF23" s="405">
        <v>7862283</v>
      </c>
      <c r="CG23" s="407">
        <v>395773457</v>
      </c>
      <c r="CH23" s="407">
        <v>430351458</v>
      </c>
      <c r="CI23" s="405">
        <v>41473913</v>
      </c>
      <c r="CJ23" s="405">
        <v>43113823</v>
      </c>
      <c r="CK23" s="405">
        <v>2159792</v>
      </c>
      <c r="CL23" s="405"/>
      <c r="CM23" s="405">
        <v>12674006</v>
      </c>
      <c r="CN23" s="405">
        <v>16633580</v>
      </c>
      <c r="CO23" s="405">
        <v>826679000</v>
      </c>
      <c r="CP23" s="405">
        <v>1185582000</v>
      </c>
      <c r="CQ23" s="114">
        <v>52655360</v>
      </c>
      <c r="CR23" s="114">
        <v>42017109</v>
      </c>
      <c r="CS23" s="114">
        <v>6703060</v>
      </c>
      <c r="CT23" s="114">
        <v>6592820</v>
      </c>
      <c r="CU23" s="114">
        <v>7862283</v>
      </c>
      <c r="CV23" s="114">
        <v>8199038</v>
      </c>
      <c r="CW23" s="457">
        <v>430351458</v>
      </c>
      <c r="CX23" s="114">
        <v>370925597</v>
      </c>
      <c r="CY23" s="114">
        <v>43203130</v>
      </c>
      <c r="CZ23" s="114">
        <v>50930922</v>
      </c>
      <c r="DA23" s="114"/>
      <c r="DB23" s="114">
        <v>2950836</v>
      </c>
      <c r="DC23" s="114">
        <v>16165114</v>
      </c>
      <c r="DD23" s="114">
        <v>3404426</v>
      </c>
      <c r="DE23" s="114">
        <v>1185582000</v>
      </c>
      <c r="DF23" s="114">
        <v>1177487000</v>
      </c>
      <c r="DG23" s="114">
        <v>42017109</v>
      </c>
      <c r="DH23" s="114">
        <v>45013269</v>
      </c>
      <c r="DI23" s="114">
        <v>6592820</v>
      </c>
      <c r="DJ23" s="114">
        <v>5874016</v>
      </c>
      <c r="DK23" s="114">
        <v>8199038</v>
      </c>
      <c r="DL23" s="114">
        <v>8565843</v>
      </c>
      <c r="DM23" s="470">
        <v>370925597</v>
      </c>
      <c r="DN23" s="114">
        <v>256893735</v>
      </c>
      <c r="DO23" s="114">
        <v>50930922</v>
      </c>
      <c r="DP23" s="114">
        <v>60613055</v>
      </c>
      <c r="DQ23" s="114">
        <v>2950836</v>
      </c>
      <c r="DR23" s="114"/>
      <c r="DS23" s="114">
        <v>3404426</v>
      </c>
      <c r="DT23" s="114"/>
      <c r="DU23" s="114">
        <v>1177487000</v>
      </c>
      <c r="DV23" s="114">
        <v>1049737310</v>
      </c>
      <c r="DW23" s="438">
        <v>45013269</v>
      </c>
      <c r="DX23" s="438">
        <v>52655226</v>
      </c>
      <c r="DY23" s="438">
        <f>5614742+259274</f>
        <v>5874016</v>
      </c>
      <c r="DZ23" s="438">
        <f>6736107+101086</f>
        <v>6837193</v>
      </c>
      <c r="EA23" s="438">
        <v>8565843</v>
      </c>
      <c r="EB23" s="438">
        <v>8333073</v>
      </c>
      <c r="EC23" s="438">
        <v>256893735</v>
      </c>
      <c r="ED23" s="438">
        <v>361994238</v>
      </c>
      <c r="EE23" s="438">
        <v>57547260</v>
      </c>
      <c r="EF23" s="438">
        <v>62889135</v>
      </c>
      <c r="EG23" s="438"/>
      <c r="EH23" s="438"/>
      <c r="EI23" s="438"/>
      <c r="EJ23" s="438"/>
      <c r="EK23" s="438">
        <v>1049737310</v>
      </c>
      <c r="EL23" s="814">
        <v>1230279376</v>
      </c>
      <c r="EM23" s="612">
        <v>8666337</v>
      </c>
      <c r="EN23" s="612">
        <v>8598345</v>
      </c>
      <c r="EO23" s="606">
        <v>78030913</v>
      </c>
      <c r="EP23" s="695">
        <v>70638805</v>
      </c>
      <c r="EQ23" s="606">
        <v>402977583</v>
      </c>
      <c r="ER23" s="606">
        <v>429929804</v>
      </c>
      <c r="ES23" s="606">
        <v>64735686</v>
      </c>
      <c r="ET23" s="606">
        <v>95801260</v>
      </c>
      <c r="EU23" s="611">
        <v>47044520</v>
      </c>
      <c r="EV23" s="611">
        <v>70543763</v>
      </c>
      <c r="EW23" s="611">
        <v>1292619548</v>
      </c>
      <c r="EX23" s="611">
        <v>1659334321</v>
      </c>
      <c r="EY23" s="836">
        <v>147448105619</v>
      </c>
      <c r="EZ23" s="836">
        <v>179917257011</v>
      </c>
      <c r="FA23" s="836">
        <v>4734597900</v>
      </c>
      <c r="FB23" s="836">
        <v>4614815500</v>
      </c>
      <c r="FC23" s="836">
        <v>117509288055</v>
      </c>
      <c r="FD23" s="836">
        <v>171108867747</v>
      </c>
      <c r="FE23" s="836">
        <v>558012956</v>
      </c>
      <c r="FF23" s="836">
        <v>1078982352</v>
      </c>
      <c r="FG23" s="836">
        <v>124349633530</v>
      </c>
      <c r="FH23" s="836">
        <v>108592732549</v>
      </c>
      <c r="FI23" s="836">
        <v>1921156659</v>
      </c>
      <c r="FJ23" s="838">
        <v>2547834856</v>
      </c>
      <c r="FK23" s="638">
        <v>2547834856000</v>
      </c>
      <c r="FL23" s="638">
        <v>2450477655000</v>
      </c>
      <c r="FM23" s="638">
        <v>1078982352000</v>
      </c>
      <c r="FN23" s="638">
        <v>1118986247000</v>
      </c>
      <c r="FO23" s="638">
        <v>171108867747</v>
      </c>
      <c r="FP23" s="638">
        <v>164413309332</v>
      </c>
    </row>
    <row r="24" spans="1:172" x14ac:dyDescent="0.25">
      <c r="A24" s="72" t="s">
        <v>26</v>
      </c>
      <c r="B24" s="175">
        <v>1081661.5989999999</v>
      </c>
      <c r="C24" s="114">
        <v>834457.75100000005</v>
      </c>
      <c r="D24" s="152">
        <v>1144445.267</v>
      </c>
      <c r="E24" s="152">
        <v>622052</v>
      </c>
      <c r="F24" s="115">
        <v>636943</v>
      </c>
      <c r="G24" s="114">
        <v>0</v>
      </c>
      <c r="H24" s="152">
        <v>72929</v>
      </c>
      <c r="I24" s="152">
        <v>23771</v>
      </c>
      <c r="J24" s="114">
        <v>0</v>
      </c>
      <c r="K24" s="114">
        <v>0</v>
      </c>
      <c r="L24" s="152">
        <v>0</v>
      </c>
      <c r="M24" s="152">
        <v>5510</v>
      </c>
      <c r="N24" s="115"/>
      <c r="O24" s="114">
        <v>0</v>
      </c>
      <c r="P24" s="114">
        <v>77726</v>
      </c>
      <c r="Q24" s="114">
        <v>72667</v>
      </c>
      <c r="R24" s="114">
        <v>93196</v>
      </c>
      <c r="S24" s="114"/>
      <c r="T24" s="152">
        <v>4094</v>
      </c>
      <c r="U24" s="121">
        <v>3642873</v>
      </c>
      <c r="V24" s="152">
        <v>2944672</v>
      </c>
      <c r="W24" s="152"/>
      <c r="X24" s="145">
        <v>2330137</v>
      </c>
      <c r="Y24" s="175">
        <v>11092752</v>
      </c>
      <c r="Z24" s="114">
        <v>8328.9879999999994</v>
      </c>
      <c r="AA24" s="152">
        <v>4374099</v>
      </c>
      <c r="AB24" s="152">
        <v>5337476</v>
      </c>
      <c r="AC24" s="115">
        <v>3371362</v>
      </c>
      <c r="AD24" s="114">
        <v>0</v>
      </c>
      <c r="AE24" s="114">
        <v>0</v>
      </c>
      <c r="AF24" s="166">
        <v>243890.80499999999</v>
      </c>
      <c r="AG24" s="152">
        <v>48081</v>
      </c>
      <c r="AH24" s="152">
        <v>11313</v>
      </c>
      <c r="AI24" s="145">
        <v>0</v>
      </c>
      <c r="AJ24" s="114">
        <v>0</v>
      </c>
      <c r="AK24" s="186">
        <v>1002.385</v>
      </c>
      <c r="AL24" s="152"/>
      <c r="AM24" s="201"/>
      <c r="AN24" s="175">
        <v>90561000</v>
      </c>
      <c r="AO24" s="114">
        <v>10014000</v>
      </c>
      <c r="AP24" s="152">
        <v>22042000</v>
      </c>
      <c r="AQ24" s="145">
        <v>42579000</v>
      </c>
      <c r="AR24" s="145">
        <v>118953000</v>
      </c>
      <c r="AS24" s="236">
        <v>636943</v>
      </c>
      <c r="AT24" s="114">
        <v>706468</v>
      </c>
      <c r="AU24" s="247">
        <v>23771</v>
      </c>
      <c r="AV24" s="247">
        <v>26332</v>
      </c>
      <c r="AW24" s="236"/>
      <c r="AX24" s="114">
        <v>4197</v>
      </c>
      <c r="AY24" s="114">
        <v>0</v>
      </c>
      <c r="AZ24" s="114"/>
      <c r="BA24" s="241">
        <v>38420794</v>
      </c>
      <c r="BB24" s="241">
        <v>24364034</v>
      </c>
      <c r="BC24" s="236">
        <v>3371362</v>
      </c>
      <c r="BD24" s="114">
        <v>2867725</v>
      </c>
      <c r="BE24" s="252"/>
      <c r="BF24" s="114">
        <v>8</v>
      </c>
      <c r="BG24" s="247">
        <v>11313</v>
      </c>
      <c r="BH24" s="114">
        <v>21661</v>
      </c>
      <c r="BI24" s="241">
        <v>118953000</v>
      </c>
      <c r="BJ24" s="114">
        <v>74107000</v>
      </c>
      <c r="BK24" s="114">
        <v>706468</v>
      </c>
      <c r="BL24" s="114">
        <v>705363</v>
      </c>
      <c r="BM24" s="305">
        <v>26332</v>
      </c>
      <c r="BN24" s="305">
        <v>164347</v>
      </c>
      <c r="BO24" s="114">
        <v>4197</v>
      </c>
      <c r="BP24" s="114">
        <v>649307</v>
      </c>
      <c r="BQ24" s="300">
        <v>24364034</v>
      </c>
      <c r="BR24" s="300">
        <v>164222030</v>
      </c>
      <c r="BS24" s="114">
        <v>2867725</v>
      </c>
      <c r="BT24" s="114">
        <v>5887508</v>
      </c>
      <c r="BU24" s="114">
        <v>8</v>
      </c>
      <c r="BV24" s="114">
        <v>8</v>
      </c>
      <c r="BW24" s="114">
        <v>21661</v>
      </c>
      <c r="BX24" s="114">
        <v>241645</v>
      </c>
      <c r="BY24" s="114">
        <v>74107000</v>
      </c>
      <c r="BZ24" s="114">
        <v>23148000</v>
      </c>
      <c r="CA24" s="405">
        <v>705363</v>
      </c>
      <c r="CB24" s="405">
        <v>1105123</v>
      </c>
      <c r="CC24" s="406">
        <v>164347</v>
      </c>
      <c r="CD24" s="406">
        <v>5339</v>
      </c>
      <c r="CE24" s="405">
        <v>679777</v>
      </c>
      <c r="CF24" s="405">
        <v>7296</v>
      </c>
      <c r="CG24" s="407">
        <f>5864+60879+2500734</f>
        <v>2567477</v>
      </c>
      <c r="CH24" s="407">
        <f>9644+53435+3529862</f>
        <v>3592941</v>
      </c>
      <c r="CI24" s="405">
        <v>5887508</v>
      </c>
      <c r="CJ24" s="405">
        <v>1810167</v>
      </c>
      <c r="CK24" s="405">
        <v>8</v>
      </c>
      <c r="CL24" s="405"/>
      <c r="CM24" s="405">
        <v>241645</v>
      </c>
      <c r="CN24" s="405">
        <f>1155+260</f>
        <v>1415</v>
      </c>
      <c r="CO24" s="405">
        <f>256000+7647000</f>
        <v>7903000</v>
      </c>
      <c r="CP24" s="405">
        <f>791000+41578000+30516000</f>
        <v>72885000</v>
      </c>
      <c r="CQ24" s="114">
        <v>1105123</v>
      </c>
      <c r="CR24" s="114">
        <v>1008651</v>
      </c>
      <c r="CS24" s="114">
        <v>98</v>
      </c>
      <c r="CT24" s="114">
        <v>33024</v>
      </c>
      <c r="CU24" s="114">
        <v>7296</v>
      </c>
      <c r="CV24" s="114">
        <v>12635</v>
      </c>
      <c r="CW24" s="457">
        <v>3592941</v>
      </c>
      <c r="CX24" s="114">
        <v>48091</v>
      </c>
      <c r="CY24" s="114">
        <v>1720860</v>
      </c>
      <c r="CZ24" s="114">
        <v>836558</v>
      </c>
      <c r="DA24" s="114"/>
      <c r="DB24" s="114"/>
      <c r="DC24" s="114">
        <v>469880</v>
      </c>
      <c r="DD24" s="114">
        <v>16678</v>
      </c>
      <c r="DE24" s="114">
        <v>72885000</v>
      </c>
      <c r="DF24" s="114">
        <v>23333000</v>
      </c>
      <c r="DG24" s="114">
        <v>1008651</v>
      </c>
      <c r="DH24" s="114">
        <v>321966</v>
      </c>
      <c r="DI24" s="114">
        <v>33024</v>
      </c>
      <c r="DJ24" s="114">
        <v>1920</v>
      </c>
      <c r="DK24" s="114">
        <v>12635</v>
      </c>
      <c r="DL24" s="114">
        <v>77600</v>
      </c>
      <c r="DM24" s="470">
        <v>48091</v>
      </c>
      <c r="DN24" s="114">
        <v>48150</v>
      </c>
      <c r="DO24" s="114">
        <v>836558</v>
      </c>
      <c r="DP24" s="114">
        <v>503993</v>
      </c>
      <c r="DQ24" s="114"/>
      <c r="DR24" s="114"/>
      <c r="DS24" s="114">
        <v>16678</v>
      </c>
      <c r="DT24" s="114"/>
      <c r="DU24" s="114">
        <v>23333000</v>
      </c>
      <c r="DV24" s="114">
        <v>26438850</v>
      </c>
      <c r="DW24" s="441">
        <v>321966</v>
      </c>
      <c r="DX24" s="441">
        <v>1308907</v>
      </c>
      <c r="DY24" s="438">
        <v>1920</v>
      </c>
      <c r="DZ24" s="438">
        <v>1233</v>
      </c>
      <c r="EA24" s="438">
        <v>77600</v>
      </c>
      <c r="EB24" s="438">
        <v>103798</v>
      </c>
      <c r="EC24" s="438">
        <f>48150+580183</f>
        <v>628333</v>
      </c>
      <c r="ED24" s="438">
        <f>110+777092+3253056</f>
        <v>4030258</v>
      </c>
      <c r="EE24" s="438">
        <f>503992+3065795</f>
        <v>3569787</v>
      </c>
      <c r="EF24" s="438">
        <f>1105455+387894</f>
        <v>1493349</v>
      </c>
      <c r="EG24" s="438"/>
      <c r="EH24" s="438"/>
      <c r="EI24" s="438"/>
      <c r="EJ24" s="438"/>
      <c r="EK24" s="438">
        <f>1617283+24821567</f>
        <v>26438850</v>
      </c>
      <c r="EL24" s="814">
        <f>1020366+25180639</f>
        <v>26201005</v>
      </c>
      <c r="EM24" s="605"/>
      <c r="EN24" s="605"/>
      <c r="EO24" s="605"/>
      <c r="EP24" s="605"/>
      <c r="EQ24" s="605"/>
      <c r="ER24" s="605"/>
      <c r="ES24" s="605"/>
      <c r="ET24" s="605"/>
      <c r="EU24" s="605"/>
      <c r="EV24" s="605"/>
      <c r="EW24" s="605"/>
      <c r="EX24" s="605"/>
      <c r="EY24" s="777">
        <f>91457887+149807154+52173213</f>
        <v>293438254</v>
      </c>
      <c r="EZ24" s="777">
        <f>1979421581+1395817194+10219505</f>
        <v>3385458280</v>
      </c>
      <c r="FA24" s="777">
        <v>2727320197</v>
      </c>
      <c r="FB24" s="777">
        <v>756198363</v>
      </c>
      <c r="FC24" s="777">
        <f>667687517+216362173</f>
        <v>884049690</v>
      </c>
      <c r="FD24" s="777">
        <f>1569197242+592331398</f>
        <v>2161528640</v>
      </c>
      <c r="FE24" s="777">
        <f>35765+2792899</f>
        <v>2828664</v>
      </c>
      <c r="FF24" s="777">
        <f>25651</f>
        <v>25651</v>
      </c>
      <c r="FG24" s="836">
        <f>1986493795+184795589</f>
        <v>2171289384</v>
      </c>
      <c r="FH24" s="836">
        <f>4407012673+5423575096</f>
        <v>9830587769</v>
      </c>
      <c r="FI24" s="777">
        <f>819808+46167172+54146634</f>
        <v>101133614</v>
      </c>
      <c r="FJ24" s="840">
        <f>1984989+44944921</f>
        <v>46929910</v>
      </c>
      <c r="FK24" s="638">
        <v>46929910000</v>
      </c>
      <c r="FL24" s="638">
        <v>9384027000</v>
      </c>
      <c r="FM24" s="638">
        <v>25651000</v>
      </c>
      <c r="FN24" s="638">
        <v>1406580000</v>
      </c>
      <c r="FO24" s="638">
        <v>2161528640</v>
      </c>
      <c r="FP24" s="638">
        <v>2959398045</v>
      </c>
    </row>
    <row r="25" spans="1:172" x14ac:dyDescent="0.25">
      <c r="A25" s="71" t="s">
        <v>27</v>
      </c>
      <c r="B25" s="176">
        <v>51210888.109999999</v>
      </c>
      <c r="C25" s="118">
        <v>40152716.836000003</v>
      </c>
      <c r="D25" s="153">
        <v>39841874.086999997</v>
      </c>
      <c r="E25" s="153">
        <v>47792335</v>
      </c>
      <c r="F25" s="119">
        <v>49409477</v>
      </c>
      <c r="G25" s="118">
        <v>3217474</v>
      </c>
      <c r="H25" s="153">
        <v>4430167</v>
      </c>
      <c r="I25" s="153">
        <v>4627569</v>
      </c>
      <c r="J25" s="118">
        <v>110875</v>
      </c>
      <c r="K25" s="118">
        <v>790823.01399999997</v>
      </c>
      <c r="L25" s="153">
        <v>82500</v>
      </c>
      <c r="M25" s="153">
        <v>142925</v>
      </c>
      <c r="N25" s="119">
        <v>1379211</v>
      </c>
      <c r="O25" s="118">
        <v>0</v>
      </c>
      <c r="P25" s="118">
        <v>10155448</v>
      </c>
      <c r="Q25" s="118">
        <v>20149674</v>
      </c>
      <c r="R25" s="118">
        <v>27558532</v>
      </c>
      <c r="S25" s="118">
        <v>0</v>
      </c>
      <c r="T25" s="153">
        <v>4094</v>
      </c>
      <c r="U25" s="120">
        <v>150733844</v>
      </c>
      <c r="V25" s="153">
        <v>327885596</v>
      </c>
      <c r="W25" s="153">
        <v>369430068</v>
      </c>
      <c r="X25" s="146">
        <v>365600950</v>
      </c>
      <c r="Y25" s="176">
        <v>101010379</v>
      </c>
      <c r="Z25" s="118">
        <v>57589.794999999998</v>
      </c>
      <c r="AA25" s="153">
        <v>59803142</v>
      </c>
      <c r="AB25" s="153">
        <v>66452860</v>
      </c>
      <c r="AC25" s="119">
        <v>49072213</v>
      </c>
      <c r="AD25" s="118">
        <v>0</v>
      </c>
      <c r="AE25" s="118">
        <v>11617261.027000001</v>
      </c>
      <c r="AF25" s="167">
        <v>8141873.1880000001</v>
      </c>
      <c r="AG25" s="153">
        <v>7595693</v>
      </c>
      <c r="AH25" s="153">
        <v>8122493</v>
      </c>
      <c r="AI25" s="146">
        <v>0</v>
      </c>
      <c r="AJ25" s="118">
        <v>4785766.1090000002</v>
      </c>
      <c r="AK25" s="187">
        <v>8709260.4189999998</v>
      </c>
      <c r="AL25" s="153">
        <v>6654121</v>
      </c>
      <c r="AM25" s="146">
        <v>3252065</v>
      </c>
      <c r="AN25" s="176">
        <v>517323000</v>
      </c>
      <c r="AO25" s="118">
        <v>381332000</v>
      </c>
      <c r="AP25" s="153">
        <v>430258000</v>
      </c>
      <c r="AQ25" s="146">
        <v>512108000</v>
      </c>
      <c r="AR25" s="146">
        <v>619407000</v>
      </c>
      <c r="AS25" s="237">
        <v>49409477</v>
      </c>
      <c r="AT25" s="118">
        <v>49740647</v>
      </c>
      <c r="AU25" s="248">
        <v>4627569</v>
      </c>
      <c r="AV25" s="248">
        <v>5375845</v>
      </c>
      <c r="AW25" s="237">
        <v>1379211</v>
      </c>
      <c r="AX25" s="118">
        <v>5376391</v>
      </c>
      <c r="AY25" s="118">
        <v>0</v>
      </c>
      <c r="AZ25" s="118">
        <v>0</v>
      </c>
      <c r="BA25" s="242">
        <v>422236404</v>
      </c>
      <c r="BB25" s="242">
        <v>505580556</v>
      </c>
      <c r="BC25" s="237">
        <v>49072213</v>
      </c>
      <c r="BD25" s="118">
        <v>59559248</v>
      </c>
      <c r="BE25" s="242">
        <v>3252065</v>
      </c>
      <c r="BF25" s="118">
        <v>1316660</v>
      </c>
      <c r="BG25" s="248">
        <v>8122493</v>
      </c>
      <c r="BH25" s="118">
        <v>7995191</v>
      </c>
      <c r="BI25" s="242">
        <v>619407000</v>
      </c>
      <c r="BJ25" s="242">
        <v>741793000</v>
      </c>
      <c r="BK25" s="118">
        <v>49740647</v>
      </c>
      <c r="BL25" s="118">
        <v>48381802</v>
      </c>
      <c r="BM25" s="306">
        <v>5375845</v>
      </c>
      <c r="BN25" s="306">
        <v>5557261</v>
      </c>
      <c r="BO25" s="118">
        <v>5376391</v>
      </c>
      <c r="BP25" s="118">
        <v>6790199</v>
      </c>
      <c r="BQ25" s="301">
        <v>505580556</v>
      </c>
      <c r="BR25" s="301">
        <v>589555402</v>
      </c>
      <c r="BS25" s="118">
        <v>59559248</v>
      </c>
      <c r="BT25" s="118">
        <v>47361421</v>
      </c>
      <c r="BU25" s="118">
        <v>1316660</v>
      </c>
      <c r="BV25" s="118">
        <v>2159800</v>
      </c>
      <c r="BW25" s="118">
        <v>7995191</v>
      </c>
      <c r="BX25" s="118">
        <v>12915651</v>
      </c>
      <c r="BY25" s="301">
        <v>741793000</v>
      </c>
      <c r="BZ25" s="301">
        <v>852658000</v>
      </c>
      <c r="CA25" s="426">
        <v>48381802</v>
      </c>
      <c r="CB25" s="426">
        <f t="shared" ref="CB25:CP25" si="9">SUM(CB23:CB24)</f>
        <v>53760483</v>
      </c>
      <c r="CC25" s="427">
        <v>5557261</v>
      </c>
      <c r="CD25" s="427">
        <f t="shared" si="9"/>
        <v>6369799</v>
      </c>
      <c r="CE25" s="426">
        <f t="shared" si="9"/>
        <v>6819425</v>
      </c>
      <c r="CF25" s="426">
        <f t="shared" si="9"/>
        <v>7869579</v>
      </c>
      <c r="CG25" s="428">
        <f t="shared" si="9"/>
        <v>398340934</v>
      </c>
      <c r="CH25" s="428">
        <f t="shared" si="9"/>
        <v>433944399</v>
      </c>
      <c r="CI25" s="426">
        <v>47361421</v>
      </c>
      <c r="CJ25" s="426">
        <f t="shared" si="9"/>
        <v>44923990</v>
      </c>
      <c r="CK25" s="426">
        <v>2159800</v>
      </c>
      <c r="CL25" s="426">
        <f t="shared" si="9"/>
        <v>0</v>
      </c>
      <c r="CM25" s="426">
        <v>12915651</v>
      </c>
      <c r="CN25" s="426">
        <f t="shared" si="9"/>
        <v>16634995</v>
      </c>
      <c r="CO25" s="428">
        <f t="shared" si="9"/>
        <v>834582000</v>
      </c>
      <c r="CP25" s="428">
        <f t="shared" si="9"/>
        <v>1258467000</v>
      </c>
      <c r="CQ25" s="456">
        <v>53760483</v>
      </c>
      <c r="CR25" s="456">
        <v>43025760</v>
      </c>
      <c r="CS25" s="456">
        <v>6703158</v>
      </c>
      <c r="CT25" s="456">
        <v>6625844</v>
      </c>
      <c r="CU25" s="456">
        <v>7869579</v>
      </c>
      <c r="CV25" s="456">
        <v>8211673</v>
      </c>
      <c r="CW25" s="456">
        <v>433944399</v>
      </c>
      <c r="CX25" s="456">
        <v>370973688</v>
      </c>
      <c r="CY25" s="456">
        <v>44923990</v>
      </c>
      <c r="CZ25" s="456">
        <v>51767480</v>
      </c>
      <c r="DA25" s="456">
        <v>0</v>
      </c>
      <c r="DB25" s="456">
        <v>2950836</v>
      </c>
      <c r="DC25" s="456">
        <v>16634994</v>
      </c>
      <c r="DD25" s="456">
        <v>3421104</v>
      </c>
      <c r="DE25" s="456">
        <v>1258467000</v>
      </c>
      <c r="DF25" s="456">
        <v>1200820000</v>
      </c>
      <c r="DG25" s="469">
        <v>43025760</v>
      </c>
      <c r="DH25" s="469">
        <v>45335235</v>
      </c>
      <c r="DI25" s="469">
        <v>6625844</v>
      </c>
      <c r="DJ25" s="469">
        <v>5875936</v>
      </c>
      <c r="DK25" s="469">
        <v>8211673</v>
      </c>
      <c r="DL25" s="469">
        <v>8643443</v>
      </c>
      <c r="DM25" s="469">
        <v>370973688</v>
      </c>
      <c r="DN25" s="469">
        <v>256941885</v>
      </c>
      <c r="DO25" s="469">
        <v>51767480</v>
      </c>
      <c r="DP25" s="469">
        <v>61117048</v>
      </c>
      <c r="DQ25" s="469">
        <v>2950836</v>
      </c>
      <c r="DR25" s="469">
        <v>0</v>
      </c>
      <c r="DS25" s="469">
        <v>3421104</v>
      </c>
      <c r="DT25" s="469">
        <v>0</v>
      </c>
      <c r="DU25" s="469">
        <v>1200820000</v>
      </c>
      <c r="DV25" s="469">
        <v>1076176160</v>
      </c>
      <c r="DW25" s="438">
        <f>+DW24+DW23</f>
        <v>45335235</v>
      </c>
      <c r="DX25" s="438">
        <f t="shared" ref="DX25:EL25" si="10">+DX24+DX23</f>
        <v>53964133</v>
      </c>
      <c r="DY25" s="438">
        <f t="shared" si="10"/>
        <v>5875936</v>
      </c>
      <c r="DZ25" s="438">
        <f t="shared" si="10"/>
        <v>6838426</v>
      </c>
      <c r="EA25" s="438">
        <f t="shared" si="10"/>
        <v>8643443</v>
      </c>
      <c r="EB25" s="438">
        <f t="shared" si="10"/>
        <v>8436871</v>
      </c>
      <c r="EC25" s="438">
        <f t="shared" si="10"/>
        <v>257522068</v>
      </c>
      <c r="ED25" s="438">
        <f t="shared" si="10"/>
        <v>366024496</v>
      </c>
      <c r="EE25" s="438">
        <f t="shared" si="10"/>
        <v>61117047</v>
      </c>
      <c r="EF25" s="438">
        <f t="shared" si="10"/>
        <v>64382484</v>
      </c>
      <c r="EG25" s="438">
        <f t="shared" si="10"/>
        <v>0</v>
      </c>
      <c r="EH25" s="438">
        <f t="shared" si="10"/>
        <v>0</v>
      </c>
      <c r="EI25" s="438">
        <f t="shared" si="10"/>
        <v>0</v>
      </c>
      <c r="EJ25" s="438">
        <f t="shared" si="10"/>
        <v>0</v>
      </c>
      <c r="EK25" s="438">
        <f t="shared" si="10"/>
        <v>1076176160</v>
      </c>
      <c r="EL25" s="814">
        <f t="shared" si="10"/>
        <v>1256480381</v>
      </c>
      <c r="EM25" s="605"/>
      <c r="EN25" s="605"/>
      <c r="EO25" s="605"/>
      <c r="EP25" s="605"/>
      <c r="EQ25" s="605"/>
      <c r="ER25" s="605"/>
      <c r="ES25" s="605"/>
      <c r="ET25" s="605"/>
      <c r="EU25" s="605"/>
      <c r="EV25" s="605"/>
      <c r="EW25" s="605"/>
      <c r="EX25" s="605"/>
      <c r="EY25" s="605"/>
      <c r="EZ25" s="605"/>
      <c r="FA25" s="605"/>
      <c r="FB25" s="605"/>
      <c r="FC25" s="605"/>
      <c r="FD25" s="605"/>
      <c r="FE25" s="605"/>
      <c r="FF25" s="605"/>
      <c r="FG25" s="605"/>
      <c r="FH25" s="605"/>
      <c r="FI25" s="605"/>
      <c r="FJ25" s="616"/>
      <c r="FK25" s="638">
        <v>46929910000</v>
      </c>
      <c r="FL25" s="638">
        <v>9384027000</v>
      </c>
      <c r="FM25" s="638">
        <v>25651000</v>
      </c>
      <c r="FN25" s="638">
        <v>1406580000</v>
      </c>
      <c r="FO25" s="638">
        <v>2161528640</v>
      </c>
      <c r="FP25" s="638">
        <v>2959398045</v>
      </c>
    </row>
    <row r="26" spans="1:172" x14ac:dyDescent="0.25">
      <c r="A26" s="71" t="s">
        <v>28</v>
      </c>
      <c r="B26" s="175"/>
      <c r="C26" s="114"/>
      <c r="D26" s="152"/>
      <c r="E26" s="152"/>
      <c r="F26" s="115"/>
      <c r="G26" s="117"/>
      <c r="H26" s="152"/>
      <c r="I26" s="152"/>
      <c r="J26" s="117"/>
      <c r="K26" s="114"/>
      <c r="L26" s="152"/>
      <c r="M26" s="152"/>
      <c r="N26" s="115"/>
      <c r="O26" s="117"/>
      <c r="P26" s="117"/>
      <c r="Q26" s="117"/>
      <c r="R26" s="117"/>
      <c r="S26" s="117"/>
      <c r="T26" s="152"/>
      <c r="U26" s="121"/>
      <c r="V26" s="152"/>
      <c r="W26" s="152"/>
      <c r="X26" s="145"/>
      <c r="Y26" s="183"/>
      <c r="Z26" s="114"/>
      <c r="AA26" s="152"/>
      <c r="AB26" s="152"/>
      <c r="AC26" s="115"/>
      <c r="AD26" s="117"/>
      <c r="AE26" s="114"/>
      <c r="AF26" s="166"/>
      <c r="AG26" s="152"/>
      <c r="AH26" s="152"/>
      <c r="AI26" s="145"/>
      <c r="AJ26" s="114"/>
      <c r="AK26" s="186"/>
      <c r="AL26" s="152"/>
      <c r="AM26" s="145"/>
      <c r="AN26" s="175"/>
      <c r="AO26" s="114"/>
      <c r="AP26" s="152"/>
      <c r="AQ26" s="145"/>
      <c r="AR26" s="145"/>
      <c r="AS26" s="236"/>
      <c r="AT26" s="114"/>
      <c r="AU26" s="247"/>
      <c r="AV26" s="247"/>
      <c r="AW26" s="236"/>
      <c r="AX26" s="114"/>
      <c r="AY26" s="117"/>
      <c r="AZ26" s="117"/>
      <c r="BA26" s="241"/>
      <c r="BB26" s="241"/>
      <c r="BC26" s="236"/>
      <c r="BD26" s="114"/>
      <c r="BE26" s="241"/>
      <c r="BF26" s="114"/>
      <c r="BG26" s="247"/>
      <c r="BH26" s="114"/>
      <c r="BI26" s="241"/>
      <c r="BJ26" s="114"/>
      <c r="BK26" s="114"/>
      <c r="BL26" s="114"/>
      <c r="BM26" s="305"/>
      <c r="BN26" s="305"/>
      <c r="BO26" s="114"/>
      <c r="BP26" s="114"/>
      <c r="BQ26" s="300"/>
      <c r="BR26" s="300"/>
      <c r="BS26" s="114"/>
      <c r="BT26" s="114"/>
      <c r="BU26" s="114"/>
      <c r="BV26" s="114"/>
      <c r="BW26" s="114"/>
      <c r="BX26" s="114"/>
      <c r="BY26" s="114"/>
      <c r="BZ26" s="114"/>
      <c r="CA26" s="405"/>
      <c r="CB26" s="405"/>
      <c r="CC26" s="406"/>
      <c r="CD26" s="406"/>
      <c r="CE26" s="405"/>
      <c r="CF26" s="405"/>
      <c r="CG26" s="407"/>
      <c r="CH26" s="407"/>
      <c r="CI26" s="405"/>
      <c r="CJ26" s="405"/>
      <c r="CK26" s="405"/>
      <c r="CL26" s="405"/>
      <c r="CM26" s="405"/>
      <c r="CN26" s="405"/>
      <c r="CO26" s="405"/>
      <c r="CP26" s="405"/>
      <c r="CQ26" s="114"/>
      <c r="CR26" s="114"/>
      <c r="CS26" s="114"/>
      <c r="CT26" s="114"/>
      <c r="CU26" s="114"/>
      <c r="CV26" s="114"/>
      <c r="CW26" s="457"/>
      <c r="CX26" s="114"/>
      <c r="CY26" s="114"/>
      <c r="CZ26" s="114"/>
      <c r="DA26" s="114"/>
      <c r="DB26" s="114"/>
      <c r="DC26" s="114"/>
      <c r="DD26" s="114"/>
      <c r="DE26" s="114"/>
      <c r="DF26" s="114"/>
      <c r="DG26" s="114"/>
      <c r="DH26" s="114"/>
      <c r="DI26" s="114"/>
      <c r="DJ26" s="114"/>
      <c r="DK26" s="114"/>
      <c r="DL26" s="114"/>
      <c r="DM26" s="470"/>
      <c r="DN26" s="114"/>
      <c r="DO26" s="114"/>
      <c r="DP26" s="114"/>
      <c r="DQ26" s="114"/>
      <c r="DR26" s="114"/>
      <c r="DS26" s="114"/>
      <c r="DT26" s="114"/>
      <c r="DU26" s="114"/>
      <c r="DV26" s="114"/>
      <c r="DW26" s="441"/>
      <c r="DX26" s="441"/>
      <c r="DY26" s="441"/>
      <c r="DZ26" s="441"/>
      <c r="EA26" s="441"/>
      <c r="EB26" s="441"/>
      <c r="EC26" s="441"/>
      <c r="ED26" s="441"/>
      <c r="EE26" s="441"/>
      <c r="EF26" s="441"/>
      <c r="EG26" s="441"/>
      <c r="EH26" s="441"/>
      <c r="EI26" s="441"/>
      <c r="EJ26" s="441"/>
      <c r="EK26" s="441"/>
      <c r="EL26" s="815"/>
      <c r="EM26" s="605"/>
      <c r="EN26" s="605"/>
      <c r="EO26" s="605"/>
      <c r="EP26" s="605"/>
      <c r="EQ26" s="605"/>
      <c r="ER26" s="605"/>
      <c r="ES26" s="605"/>
      <c r="ET26" s="605"/>
      <c r="EU26" s="605"/>
      <c r="EV26" s="605"/>
      <c r="EW26" s="605"/>
      <c r="EX26" s="605"/>
      <c r="EY26" s="605"/>
      <c r="EZ26" s="605"/>
      <c r="FA26" s="605"/>
      <c r="FB26" s="605"/>
      <c r="FC26" s="605"/>
      <c r="FD26" s="605"/>
      <c r="FE26" s="605"/>
      <c r="FF26" s="605"/>
      <c r="FG26" s="605"/>
      <c r="FH26" s="605"/>
      <c r="FI26" s="605"/>
      <c r="FJ26" s="616"/>
      <c r="FK26" s="605"/>
      <c r="FL26" s="605"/>
      <c r="FM26" s="605"/>
      <c r="FN26" s="605"/>
      <c r="FO26" s="605"/>
      <c r="FP26" s="605"/>
    </row>
    <row r="27" spans="1:172" x14ac:dyDescent="0.25">
      <c r="A27" s="69" t="s">
        <v>29</v>
      </c>
      <c r="B27" s="175">
        <v>48873889.828999996</v>
      </c>
      <c r="C27" s="114">
        <v>38047350.114</v>
      </c>
      <c r="D27" s="152">
        <v>40149169.623999998</v>
      </c>
      <c r="E27" s="152">
        <v>48458453</v>
      </c>
      <c r="F27" s="115">
        <v>48194940</v>
      </c>
      <c r="G27" s="114">
        <v>2893208</v>
      </c>
      <c r="H27" s="152">
        <v>4240295</v>
      </c>
      <c r="I27" s="152">
        <v>4333025</v>
      </c>
      <c r="J27" s="114">
        <v>128395.03599999999</v>
      </c>
      <c r="K27" s="114">
        <v>769468.01399999997</v>
      </c>
      <c r="L27" s="152">
        <v>78816.694000000003</v>
      </c>
      <c r="M27" s="152">
        <v>125490</v>
      </c>
      <c r="N27" s="115">
        <v>1214815</v>
      </c>
      <c r="O27" s="114">
        <v>0</v>
      </c>
      <c r="P27" s="114">
        <v>9671427</v>
      </c>
      <c r="Q27" s="114">
        <v>20663955</v>
      </c>
      <c r="R27" s="114">
        <v>31324629</v>
      </c>
      <c r="S27" s="114"/>
      <c r="T27" s="152">
        <v>0</v>
      </c>
      <c r="U27" s="121">
        <v>149488583</v>
      </c>
      <c r="V27" s="152">
        <v>325064975</v>
      </c>
      <c r="W27" s="152">
        <v>362294469</v>
      </c>
      <c r="X27" s="145">
        <v>373697016</v>
      </c>
      <c r="Y27" s="175">
        <v>89089470</v>
      </c>
      <c r="Z27" s="114">
        <v>50467.277999999998</v>
      </c>
      <c r="AA27" s="152">
        <v>56289076</v>
      </c>
      <c r="AB27" s="152">
        <v>64246016</v>
      </c>
      <c r="AC27" s="115">
        <v>47133953</v>
      </c>
      <c r="AD27" s="114">
        <v>0</v>
      </c>
      <c r="AE27" s="114">
        <v>8954737.841</v>
      </c>
      <c r="AF27" s="166">
        <v>7639133.8930000002</v>
      </c>
      <c r="AG27" s="152">
        <v>7101529</v>
      </c>
      <c r="AH27" s="152">
        <v>8119560</v>
      </c>
      <c r="AI27" s="145">
        <v>0</v>
      </c>
      <c r="AJ27" s="114">
        <v>4664299.824</v>
      </c>
      <c r="AK27" s="186">
        <v>8352349.7719999999</v>
      </c>
      <c r="AL27" s="152">
        <v>6439102</v>
      </c>
      <c r="AM27" s="145">
        <v>3196657</v>
      </c>
      <c r="AN27" s="175">
        <v>377430000</v>
      </c>
      <c r="AO27" s="114">
        <v>359538000</v>
      </c>
      <c r="AP27" s="152">
        <v>379405000</v>
      </c>
      <c r="AQ27" s="145">
        <v>471631000</v>
      </c>
      <c r="AR27" s="145">
        <v>493222000</v>
      </c>
      <c r="AS27" s="236">
        <v>48194940</v>
      </c>
      <c r="AT27" s="114">
        <v>47991075</v>
      </c>
      <c r="AU27" s="247">
        <v>4333025</v>
      </c>
      <c r="AV27" s="247">
        <v>5176197</v>
      </c>
      <c r="AW27" s="236">
        <v>1214815</v>
      </c>
      <c r="AX27" s="114">
        <v>5093167</v>
      </c>
      <c r="AY27" s="114">
        <v>0</v>
      </c>
      <c r="AZ27" s="114"/>
      <c r="BA27" s="241">
        <v>394558357</v>
      </c>
      <c r="BB27" s="241">
        <v>487867372</v>
      </c>
      <c r="BC27" s="236">
        <v>47133953</v>
      </c>
      <c r="BD27" s="114">
        <v>49052687</v>
      </c>
      <c r="BE27" s="241">
        <v>3196657</v>
      </c>
      <c r="BF27" s="114">
        <v>1277507</v>
      </c>
      <c r="BG27" s="247">
        <v>8119560</v>
      </c>
      <c r="BH27" s="114">
        <v>7853801</v>
      </c>
      <c r="BI27" s="241">
        <v>493222000</v>
      </c>
      <c r="BJ27" s="114">
        <v>663442000</v>
      </c>
      <c r="BK27" s="114">
        <v>47991075</v>
      </c>
      <c r="BL27" s="114">
        <v>46228737</v>
      </c>
      <c r="BM27" s="305">
        <v>5236070</v>
      </c>
      <c r="BN27" s="305">
        <v>5350305</v>
      </c>
      <c r="BO27" s="114">
        <v>5093167</v>
      </c>
      <c r="BP27" s="114">
        <v>5578314</v>
      </c>
      <c r="BQ27" s="300">
        <v>487867372</v>
      </c>
      <c r="BR27" s="300">
        <v>441388412</v>
      </c>
      <c r="BS27" s="114">
        <v>49052687</v>
      </c>
      <c r="BT27" s="114">
        <v>40986361</v>
      </c>
      <c r="BU27" s="114">
        <v>1277507</v>
      </c>
      <c r="BV27" s="114">
        <v>2080403</v>
      </c>
      <c r="BW27" s="114">
        <v>7853801</v>
      </c>
      <c r="BX27" s="114">
        <v>12960119</v>
      </c>
      <c r="BY27" s="114">
        <v>663442000</v>
      </c>
      <c r="BZ27" s="114">
        <v>744176000</v>
      </c>
      <c r="CA27" s="405">
        <v>46228737</v>
      </c>
      <c r="CB27" s="405">
        <f>41824904+4537926+1071165</f>
        <v>47433995</v>
      </c>
      <c r="CC27" s="406">
        <v>5350305</v>
      </c>
      <c r="CD27" s="406">
        <f>4956929+1139291</f>
        <v>6096220</v>
      </c>
      <c r="CE27" s="405">
        <f>4624641+951229</f>
        <v>5575870</v>
      </c>
      <c r="CF27" s="405">
        <f>5218390+1705730</f>
        <v>6924120</v>
      </c>
      <c r="CG27" s="407">
        <f>389573647+14564384+4526270+2762883</f>
        <v>411427184</v>
      </c>
      <c r="CH27" s="407">
        <f>407549948+15182191+39912+8884530+4460066</f>
        <v>436116647</v>
      </c>
      <c r="CI27" s="405">
        <v>40986361</v>
      </c>
      <c r="CJ27" s="405">
        <f>37811032+4052156</f>
        <v>41863188</v>
      </c>
      <c r="CK27" s="405">
        <v>2080403</v>
      </c>
      <c r="CL27" s="405"/>
      <c r="CM27" s="405">
        <v>12960119</v>
      </c>
      <c r="CN27" s="405">
        <f>14017578+2435763</f>
        <v>16453341</v>
      </c>
      <c r="CO27" s="405">
        <v>740452000</v>
      </c>
      <c r="CP27" s="405">
        <v>1068689000</v>
      </c>
      <c r="CQ27" s="114">
        <v>47433995</v>
      </c>
      <c r="CR27" s="114">
        <v>42076529</v>
      </c>
      <c r="CS27" s="114">
        <v>6980402</v>
      </c>
      <c r="CT27" s="114">
        <v>6060899</v>
      </c>
      <c r="CU27" s="114">
        <v>6647923</v>
      </c>
      <c r="CV27" s="114">
        <v>7364177</v>
      </c>
      <c r="CW27" s="457">
        <v>436116647</v>
      </c>
      <c r="CX27" s="114">
        <v>366573035</v>
      </c>
      <c r="CY27" s="114">
        <v>41974953</v>
      </c>
      <c r="CZ27" s="114">
        <v>46979028</v>
      </c>
      <c r="DA27" s="114"/>
      <c r="DB27" s="114">
        <v>2764120</v>
      </c>
      <c r="DC27" s="114">
        <v>16395379</v>
      </c>
      <c r="DD27" s="114">
        <v>4089037</v>
      </c>
      <c r="DE27" s="114">
        <v>1068689000</v>
      </c>
      <c r="DF27" s="114">
        <v>978858000</v>
      </c>
      <c r="DG27" s="114">
        <v>42008225</v>
      </c>
      <c r="DH27" s="114">
        <v>45719343</v>
      </c>
      <c r="DI27" s="114">
        <v>6060899</v>
      </c>
      <c r="DJ27" s="114">
        <v>5906400</v>
      </c>
      <c r="DK27" s="114">
        <v>7364177</v>
      </c>
      <c r="DL27" s="114">
        <v>7362697</v>
      </c>
      <c r="DM27" s="470">
        <v>366573035</v>
      </c>
      <c r="DN27" s="114">
        <v>244445212</v>
      </c>
      <c r="DO27" s="114">
        <v>46979028</v>
      </c>
      <c r="DP27" s="114">
        <v>57736754</v>
      </c>
      <c r="DQ27" s="114">
        <v>2764120</v>
      </c>
      <c r="DR27" s="114"/>
      <c r="DS27" s="114">
        <v>4089037</v>
      </c>
      <c r="DT27" s="114"/>
      <c r="DU27" s="114">
        <v>978858000</v>
      </c>
      <c r="DV27" s="114">
        <v>933718867</v>
      </c>
      <c r="DW27" s="438">
        <v>40697128</v>
      </c>
      <c r="DX27" s="438">
        <v>49496495</v>
      </c>
      <c r="DY27" s="438">
        <f>4120267+1675976+110157</f>
        <v>5906400</v>
      </c>
      <c r="DZ27" s="438">
        <f>5482266+986112+146078</f>
        <v>6614456</v>
      </c>
      <c r="EA27" s="438">
        <v>6178509</v>
      </c>
      <c r="EB27" s="438">
        <v>6168496</v>
      </c>
      <c r="EC27" s="438">
        <f>223021209+10298484+6881717+4243802</f>
        <v>244445212</v>
      </c>
      <c r="ED27" s="438">
        <f>316679021+18090551+15887323+5636896</f>
        <v>356293791</v>
      </c>
      <c r="EE27" s="438">
        <f>51069392+4451743+997616</f>
        <v>56518751</v>
      </c>
      <c r="EF27" s="438">
        <f>54024823+5457188+888897</f>
        <v>60370908</v>
      </c>
      <c r="EG27" s="438"/>
      <c r="EH27" s="438"/>
      <c r="EI27" s="438"/>
      <c r="EJ27" s="438"/>
      <c r="EK27" s="438">
        <v>933718867</v>
      </c>
      <c r="EL27" s="814">
        <v>1090509842</v>
      </c>
      <c r="EM27" s="612">
        <v>815633</v>
      </c>
      <c r="EN27" s="612">
        <v>845023</v>
      </c>
      <c r="EO27" s="612">
        <v>3496704</v>
      </c>
      <c r="EP27" s="612">
        <v>2955912</v>
      </c>
      <c r="EQ27" s="612">
        <v>20855320</v>
      </c>
      <c r="ER27" s="612">
        <v>20808424</v>
      </c>
      <c r="ES27" s="612">
        <f>5338697+1055828</f>
        <v>6394525</v>
      </c>
      <c r="ET27" s="612">
        <v>6297210</v>
      </c>
      <c r="EU27" s="612">
        <v>4248415</v>
      </c>
      <c r="EV27" s="612">
        <v>4205625</v>
      </c>
      <c r="EW27" s="612">
        <v>1424864051</v>
      </c>
      <c r="EX27" s="612">
        <v>1222642585</v>
      </c>
      <c r="EY27" s="763">
        <v>143633161406</v>
      </c>
      <c r="EZ27" s="763">
        <v>176021383116</v>
      </c>
      <c r="FA27" s="763">
        <v>5496906445</v>
      </c>
      <c r="FB27" s="763">
        <v>5195393251</v>
      </c>
      <c r="FC27" s="763">
        <v>115773071885</v>
      </c>
      <c r="FD27" s="763">
        <v>169264587782</v>
      </c>
      <c r="FE27" s="763">
        <v>572745444</v>
      </c>
      <c r="FF27" s="763">
        <v>1084473942</v>
      </c>
      <c r="FG27" s="763">
        <v>121460667548</v>
      </c>
      <c r="FH27" s="763">
        <v>128599107637</v>
      </c>
      <c r="FI27" s="763">
        <v>2105680951</v>
      </c>
      <c r="FJ27" s="839">
        <v>2348672845</v>
      </c>
      <c r="FK27" s="643">
        <v>2348672845000</v>
      </c>
      <c r="FL27" s="643">
        <v>2494595395000</v>
      </c>
      <c r="FM27" s="643">
        <v>1073082578000</v>
      </c>
      <c r="FN27" s="643">
        <v>1114778616000</v>
      </c>
      <c r="FO27" s="643">
        <v>169264587782</v>
      </c>
      <c r="FP27" s="643">
        <v>161213143542</v>
      </c>
    </row>
    <row r="28" spans="1:172" x14ac:dyDescent="0.25">
      <c r="A28" s="69" t="s">
        <v>30</v>
      </c>
      <c r="B28" s="175">
        <v>1255303.406</v>
      </c>
      <c r="C28" s="114">
        <v>1039879.942</v>
      </c>
      <c r="D28" s="152">
        <v>842491.75899999996</v>
      </c>
      <c r="E28" s="152">
        <v>1440082</v>
      </c>
      <c r="F28" s="115">
        <v>527636</v>
      </c>
      <c r="G28" s="114">
        <v>233748</v>
      </c>
      <c r="H28" s="152">
        <v>26155</v>
      </c>
      <c r="I28" s="152">
        <v>68769</v>
      </c>
      <c r="J28" s="114">
        <v>0</v>
      </c>
      <c r="K28" s="123">
        <v>0</v>
      </c>
      <c r="L28" s="152">
        <v>0</v>
      </c>
      <c r="M28" s="152">
        <v>5698</v>
      </c>
      <c r="N28" s="115">
        <v>10526</v>
      </c>
      <c r="O28" s="114">
        <v>0</v>
      </c>
      <c r="P28" s="114">
        <v>119514</v>
      </c>
      <c r="Q28" s="114">
        <v>629497</v>
      </c>
      <c r="R28" s="114">
        <v>756038</v>
      </c>
      <c r="S28" s="114"/>
      <c r="T28" s="152">
        <v>0</v>
      </c>
      <c r="U28" s="121">
        <v>1613025</v>
      </c>
      <c r="V28" s="152">
        <v>1862205</v>
      </c>
      <c r="W28" s="152">
        <v>2919001</v>
      </c>
      <c r="X28" s="145">
        <v>1652983</v>
      </c>
      <c r="Y28" s="175">
        <v>9709024</v>
      </c>
      <c r="Z28" s="114">
        <v>8954.0069999999996</v>
      </c>
      <c r="AA28" s="152">
        <v>4612370</v>
      </c>
      <c r="AB28" s="152">
        <v>3732825</v>
      </c>
      <c r="AC28" s="115">
        <v>4157825</v>
      </c>
      <c r="AD28" s="114">
        <v>0</v>
      </c>
      <c r="AE28" s="114">
        <v>2201810.0019999999</v>
      </c>
      <c r="AF28" s="166">
        <v>254749.49899999998</v>
      </c>
      <c r="AG28" s="152">
        <v>141887</v>
      </c>
      <c r="AH28" s="152"/>
      <c r="AI28" s="145">
        <v>0</v>
      </c>
      <c r="AJ28" s="123">
        <v>0</v>
      </c>
      <c r="AK28" s="186">
        <v>13519.306</v>
      </c>
      <c r="AL28" s="152">
        <v>12589</v>
      </c>
      <c r="AM28" s="145">
        <v>1</v>
      </c>
      <c r="AN28" s="175">
        <v>44031000</v>
      </c>
      <c r="AO28" s="114">
        <v>17095000</v>
      </c>
      <c r="AP28" s="152">
        <v>82686000</v>
      </c>
      <c r="AQ28" s="145">
        <v>41619000</v>
      </c>
      <c r="AR28" s="145">
        <v>123607000</v>
      </c>
      <c r="AS28" s="236">
        <v>527636</v>
      </c>
      <c r="AT28" s="114">
        <v>1227054</v>
      </c>
      <c r="AU28" s="247">
        <v>68769</v>
      </c>
      <c r="AV28" s="247">
        <v>40590</v>
      </c>
      <c r="AW28" s="236">
        <v>10526</v>
      </c>
      <c r="AX28" s="114">
        <v>22954</v>
      </c>
      <c r="AY28" s="114">
        <v>0</v>
      </c>
      <c r="AZ28" s="114"/>
      <c r="BA28" s="241">
        <v>37727096</v>
      </c>
      <c r="BB28" s="241">
        <v>21787914</v>
      </c>
      <c r="BC28" s="236">
        <v>4157825</v>
      </c>
      <c r="BD28" s="114">
        <v>2780221</v>
      </c>
      <c r="BE28" s="241">
        <v>1</v>
      </c>
      <c r="BF28" s="114">
        <v>9439</v>
      </c>
      <c r="BG28" s="247"/>
      <c r="BH28" s="114">
        <v>4506</v>
      </c>
      <c r="BI28" s="241">
        <v>123607000</v>
      </c>
      <c r="BJ28" s="114">
        <v>80652000</v>
      </c>
      <c r="BK28" s="114">
        <v>1227054</v>
      </c>
      <c r="BL28" s="114">
        <v>1426622</v>
      </c>
      <c r="BM28" s="305">
        <v>67074</v>
      </c>
      <c r="BN28" s="305">
        <v>37838</v>
      </c>
      <c r="BO28" s="114">
        <v>22954</v>
      </c>
      <c r="BP28" s="114">
        <v>167072</v>
      </c>
      <c r="BQ28" s="300">
        <v>21787914</v>
      </c>
      <c r="BR28" s="300">
        <v>157094239</v>
      </c>
      <c r="BS28" s="114">
        <v>2780221</v>
      </c>
      <c r="BT28" s="114">
        <v>1680728</v>
      </c>
      <c r="BU28" s="114">
        <v>9439</v>
      </c>
      <c r="BV28" s="114">
        <v>7590</v>
      </c>
      <c r="BW28" s="114">
        <v>4506</v>
      </c>
      <c r="BX28" s="114">
        <v>63233</v>
      </c>
      <c r="BY28" s="114">
        <v>80652000</v>
      </c>
      <c r="BZ28" s="114">
        <v>136396000</v>
      </c>
      <c r="CA28" s="405">
        <v>1426622</v>
      </c>
      <c r="CB28" s="405">
        <v>1096570</v>
      </c>
      <c r="CC28" s="406">
        <v>37838</v>
      </c>
      <c r="CD28" s="406">
        <v>25810</v>
      </c>
      <c r="CE28" s="405">
        <v>497125</v>
      </c>
      <c r="CF28" s="405">
        <v>748803</v>
      </c>
      <c r="CG28" s="407">
        <v>1058095</v>
      </c>
      <c r="CH28" s="407">
        <v>408014</v>
      </c>
      <c r="CI28" s="405">
        <v>1680728</v>
      </c>
      <c r="CJ28" s="405">
        <v>1989114</v>
      </c>
      <c r="CK28" s="405">
        <v>7590</v>
      </c>
      <c r="CL28" s="405"/>
      <c r="CM28" s="405">
        <v>63233</v>
      </c>
      <c r="CN28" s="405">
        <f>29735+7075</f>
        <v>36810</v>
      </c>
      <c r="CO28" s="405">
        <v>16358000</v>
      </c>
      <c r="CP28" s="405">
        <v>43819000</v>
      </c>
      <c r="CQ28" s="114">
        <v>1096569</v>
      </c>
      <c r="CR28" s="114">
        <v>587093</v>
      </c>
      <c r="CS28" s="114">
        <v>25099</v>
      </c>
      <c r="CT28" s="114">
        <v>40639</v>
      </c>
      <c r="CU28" s="114">
        <v>747738</v>
      </c>
      <c r="CV28" s="114">
        <v>296426</v>
      </c>
      <c r="CW28" s="457">
        <v>408014</v>
      </c>
      <c r="CX28" s="114">
        <v>3281519</v>
      </c>
      <c r="CY28" s="114">
        <v>1877349</v>
      </c>
      <c r="CZ28" s="114">
        <v>2229646</v>
      </c>
      <c r="DA28" s="114"/>
      <c r="DB28" s="114"/>
      <c r="DC28" s="114">
        <v>36811</v>
      </c>
      <c r="DD28" s="114">
        <v>39810</v>
      </c>
      <c r="DE28" s="114">
        <v>43819000</v>
      </c>
      <c r="DF28" s="114">
        <v>51181000</v>
      </c>
      <c r="DG28" s="114">
        <v>587093</v>
      </c>
      <c r="DH28" s="114">
        <v>699506</v>
      </c>
      <c r="DI28" s="114">
        <v>40639</v>
      </c>
      <c r="DJ28" s="114">
        <v>40937</v>
      </c>
      <c r="DK28" s="114">
        <v>296426</v>
      </c>
      <c r="DL28" s="114">
        <v>288471</v>
      </c>
      <c r="DM28" s="470">
        <v>3281519</v>
      </c>
      <c r="DN28" s="114">
        <v>1506810</v>
      </c>
      <c r="DO28" s="114">
        <v>2229646</v>
      </c>
      <c r="DP28" s="114">
        <v>1847545</v>
      </c>
      <c r="DQ28" s="114"/>
      <c r="DR28" s="114"/>
      <c r="DS28" s="114">
        <v>39810</v>
      </c>
      <c r="DT28" s="114"/>
      <c r="DU28" s="114">
        <v>51181000</v>
      </c>
      <c r="DV28" s="114">
        <v>51242445</v>
      </c>
      <c r="DW28" s="438">
        <f>229114+4793101+246606+452901</f>
        <v>5721722</v>
      </c>
      <c r="DX28" s="438">
        <f>271438+3181924+1120149+604771</f>
        <v>5178282</v>
      </c>
      <c r="DY28" s="438">
        <v>40937</v>
      </c>
      <c r="DZ28" s="438">
        <v>40041</v>
      </c>
      <c r="EA28" s="438">
        <f>1184191+288470</f>
        <v>1472661</v>
      </c>
      <c r="EB28" s="438">
        <f>1227187+146109+199883</f>
        <v>1573179</v>
      </c>
      <c r="EC28" s="438">
        <f>411432+1095378</f>
        <v>1506810</v>
      </c>
      <c r="ED28" s="438">
        <f>432559+1510737</f>
        <v>1943296</v>
      </c>
      <c r="EE28" s="438">
        <f>1847545+1218002</f>
        <v>3065547</v>
      </c>
      <c r="EF28" s="438">
        <f>2496223+406307</f>
        <v>2902530</v>
      </c>
      <c r="EG28" s="438"/>
      <c r="EH28" s="438"/>
      <c r="EI28" s="438"/>
      <c r="EJ28" s="438"/>
      <c r="EK28" s="438">
        <f>41430436+9812009</f>
        <v>51242445</v>
      </c>
      <c r="EL28" s="814">
        <f>38251114+26965151</f>
        <v>65216265</v>
      </c>
      <c r="EM28" s="605"/>
      <c r="EN28" s="605"/>
      <c r="EO28" s="605"/>
      <c r="EP28" s="605"/>
      <c r="EQ28" s="605"/>
      <c r="ER28" s="605"/>
      <c r="ES28" s="605"/>
      <c r="ET28" s="605"/>
      <c r="EU28" s="605"/>
      <c r="EV28" s="605"/>
      <c r="EW28" s="605"/>
      <c r="EX28" s="605"/>
      <c r="EY28" s="763">
        <v>177803962</v>
      </c>
      <c r="EZ28" s="763">
        <v>339625607</v>
      </c>
      <c r="FA28" s="763">
        <v>2355627957</v>
      </c>
      <c r="FB28" s="763">
        <v>844273161</v>
      </c>
      <c r="FC28" s="763">
        <v>2349822242</v>
      </c>
      <c r="FD28" s="763">
        <v>3211198296</v>
      </c>
      <c r="FE28" s="763">
        <v>202029307</v>
      </c>
      <c r="FF28" s="763">
        <v>29704420</v>
      </c>
      <c r="FG28" s="763">
        <v>3229564424</v>
      </c>
      <c r="FH28" s="763">
        <v>13057339370</v>
      </c>
      <c r="FI28" s="763">
        <v>278229025</v>
      </c>
      <c r="FJ28" s="839">
        <v>123107652</v>
      </c>
      <c r="FK28" s="638">
        <v>123107652000</v>
      </c>
      <c r="FL28" s="638">
        <v>324845442000</v>
      </c>
      <c r="FM28" s="638">
        <v>41095784000</v>
      </c>
      <c r="FN28" s="638">
        <v>24784296000</v>
      </c>
      <c r="FO28" s="638">
        <v>3211198296</v>
      </c>
      <c r="FP28" s="638">
        <v>4991173437</v>
      </c>
    </row>
    <row r="29" spans="1:172" x14ac:dyDescent="0.25">
      <c r="A29" s="69" t="s">
        <v>31</v>
      </c>
      <c r="B29" s="175">
        <v>377620</v>
      </c>
      <c r="C29" s="114">
        <v>415075</v>
      </c>
      <c r="D29" s="152">
        <v>41014</v>
      </c>
      <c r="E29" s="152">
        <v>36397</v>
      </c>
      <c r="F29" s="115">
        <v>218652</v>
      </c>
      <c r="G29" s="114">
        <v>29871</v>
      </c>
      <c r="H29" s="152">
        <v>54028</v>
      </c>
      <c r="I29" s="152"/>
      <c r="J29" s="114">
        <v>850</v>
      </c>
      <c r="K29" s="114">
        <v>7287</v>
      </c>
      <c r="L29" s="152">
        <v>3606</v>
      </c>
      <c r="M29" s="152">
        <v>7548</v>
      </c>
      <c r="N29" s="115">
        <v>50777</v>
      </c>
      <c r="O29" s="114">
        <v>0</v>
      </c>
      <c r="P29" s="114">
        <v>153706</v>
      </c>
      <c r="Q29" s="114">
        <v>23545</v>
      </c>
      <c r="R29" s="114">
        <v>12496</v>
      </c>
      <c r="S29" s="114"/>
      <c r="T29" s="152">
        <v>0</v>
      </c>
      <c r="U29" s="121">
        <v>58455</v>
      </c>
      <c r="V29" s="152">
        <v>59696</v>
      </c>
      <c r="W29" s="152">
        <v>358632</v>
      </c>
      <c r="X29" s="145">
        <v>384453</v>
      </c>
      <c r="Y29" s="175">
        <v>323403</v>
      </c>
      <c r="Z29" s="114">
        <v>188.89500000000001</v>
      </c>
      <c r="AA29" s="152">
        <v>171885</v>
      </c>
      <c r="AB29" s="152">
        <v>157900</v>
      </c>
      <c r="AC29" s="115">
        <v>151932</v>
      </c>
      <c r="AD29" s="114">
        <v>0</v>
      </c>
      <c r="AE29" s="114">
        <v>152035.351</v>
      </c>
      <c r="AF29" s="166">
        <v>81950</v>
      </c>
      <c r="AG29" s="152">
        <v>118829</v>
      </c>
      <c r="AH29" s="152"/>
      <c r="AI29" s="145">
        <v>0</v>
      </c>
      <c r="AJ29" s="114">
        <v>40083.874000000003</v>
      </c>
      <c r="AK29" s="186">
        <v>85847.835000000006</v>
      </c>
      <c r="AL29" s="152">
        <v>66803</v>
      </c>
      <c r="AM29" s="145">
        <v>18284</v>
      </c>
      <c r="AN29" s="175">
        <v>1413000</v>
      </c>
      <c r="AO29" s="114">
        <v>2432000</v>
      </c>
      <c r="AP29" s="152">
        <v>1170000</v>
      </c>
      <c r="AQ29" s="145">
        <v>1601000</v>
      </c>
      <c r="AR29" s="145">
        <v>5929000</v>
      </c>
      <c r="AS29" s="236">
        <v>218652</v>
      </c>
      <c r="AT29" s="114">
        <v>245078</v>
      </c>
      <c r="AU29" s="247"/>
      <c r="AV29" s="247">
        <v>50155</v>
      </c>
      <c r="AW29" s="236">
        <v>50777</v>
      </c>
      <c r="AX29" s="114">
        <v>90535</v>
      </c>
      <c r="AY29" s="114">
        <v>0</v>
      </c>
      <c r="AZ29" s="114"/>
      <c r="BA29" s="241">
        <v>84453</v>
      </c>
      <c r="BB29" s="241">
        <v>656417</v>
      </c>
      <c r="BC29" s="236">
        <v>151932</v>
      </c>
      <c r="BD29" s="114">
        <v>1339431</v>
      </c>
      <c r="BE29" s="241">
        <v>18284</v>
      </c>
      <c r="BF29" s="114">
        <v>13312</v>
      </c>
      <c r="BG29" s="247"/>
      <c r="BH29" s="114">
        <v>48073</v>
      </c>
      <c r="BI29" s="241">
        <v>5929000</v>
      </c>
      <c r="BJ29" s="114">
        <v>442000</v>
      </c>
      <c r="BK29" s="114">
        <v>245078</v>
      </c>
      <c r="BL29" s="114">
        <v>414952</v>
      </c>
      <c r="BM29" s="305">
        <v>34944</v>
      </c>
      <c r="BN29" s="305">
        <v>63586</v>
      </c>
      <c r="BO29" s="114">
        <v>90535</v>
      </c>
      <c r="BP29" s="114">
        <v>144570</v>
      </c>
      <c r="BQ29" s="300">
        <v>656417</v>
      </c>
      <c r="BR29" s="300">
        <v>130096</v>
      </c>
      <c r="BS29" s="114">
        <v>1339431</v>
      </c>
      <c r="BT29" s="114">
        <v>728228</v>
      </c>
      <c r="BU29" s="114">
        <v>13312</v>
      </c>
      <c r="BV29" s="114">
        <v>31239</v>
      </c>
      <c r="BW29" s="114">
        <v>48073</v>
      </c>
      <c r="BX29" s="114">
        <v>22660</v>
      </c>
      <c r="BY29" s="319">
        <v>442000</v>
      </c>
      <c r="BZ29" s="114">
        <v>22000</v>
      </c>
      <c r="CA29" s="405">
        <v>414952</v>
      </c>
      <c r="CB29" s="405">
        <v>1328169</v>
      </c>
      <c r="CC29" s="406">
        <v>63586</v>
      </c>
      <c r="CD29" s="406">
        <f>61942+22299</f>
        <v>84241</v>
      </c>
      <c r="CE29" s="405">
        <f>76735+27625+64207</f>
        <v>168567</v>
      </c>
      <c r="CF29" s="405">
        <f>53716+19338+12360</f>
        <v>85414</v>
      </c>
      <c r="CG29" s="407">
        <v>602809</v>
      </c>
      <c r="CH29" s="407">
        <v>-253673</v>
      </c>
      <c r="CI29" s="405">
        <v>728228</v>
      </c>
      <c r="CJ29" s="405">
        <v>260082</v>
      </c>
      <c r="CK29" s="405">
        <v>31239</v>
      </c>
      <c r="CL29" s="405"/>
      <c r="CM29" s="405">
        <v>22660</v>
      </c>
      <c r="CN29" s="405">
        <v>51650</v>
      </c>
      <c r="CO29" s="429">
        <f>12753000-3373000</f>
        <v>9380000</v>
      </c>
      <c r="CP29" s="405">
        <f>874000+7710000</f>
        <v>8584000</v>
      </c>
      <c r="CQ29" s="114">
        <v>1328170</v>
      </c>
      <c r="CR29" s="114">
        <v>182298</v>
      </c>
      <c r="CS29" s="114">
        <v>151744</v>
      </c>
      <c r="CT29" s="114">
        <v>547288</v>
      </c>
      <c r="CU29" s="114">
        <v>242909</v>
      </c>
      <c r="CV29" s="114">
        <v>387335</v>
      </c>
      <c r="CW29" s="457">
        <v>-253673</v>
      </c>
      <c r="CX29" s="114">
        <v>3556625</v>
      </c>
      <c r="CY29" s="114">
        <v>260082</v>
      </c>
      <c r="CZ29" s="114">
        <v>568374</v>
      </c>
      <c r="DA29" s="114"/>
      <c r="DB29" s="114"/>
      <c r="DC29" s="114">
        <v>71356</v>
      </c>
      <c r="DD29" s="114">
        <v>22372</v>
      </c>
      <c r="DE29" s="114">
        <v>8584000</v>
      </c>
      <c r="DF29" s="114">
        <v>27181000</v>
      </c>
      <c r="DG29" s="114">
        <v>-696823</v>
      </c>
      <c r="DH29" s="114">
        <v>719691</v>
      </c>
      <c r="DI29" s="114">
        <v>547288</v>
      </c>
      <c r="DJ29" s="114">
        <v>56217</v>
      </c>
      <c r="DK29" s="114">
        <v>387335</v>
      </c>
      <c r="DL29" s="114">
        <v>359686</v>
      </c>
      <c r="DM29" s="470">
        <v>3556625</v>
      </c>
      <c r="DN29" s="114">
        <v>500589</v>
      </c>
      <c r="DO29" s="114">
        <v>568374</v>
      </c>
      <c r="DP29" s="114">
        <v>332681</v>
      </c>
      <c r="DQ29" s="114"/>
      <c r="DR29" s="114"/>
      <c r="DS29" s="114">
        <v>22372</v>
      </c>
      <c r="DT29" s="114"/>
      <c r="DU29" s="114">
        <v>27181000</v>
      </c>
      <c r="DV29" s="114">
        <v>32091893</v>
      </c>
      <c r="DW29" s="438">
        <f>279082+440609</f>
        <v>719691</v>
      </c>
      <c r="DX29" s="438">
        <f>339292-678761</f>
        <v>-339469</v>
      </c>
      <c r="DY29" s="438">
        <f>28996+27221</f>
        <v>56217</v>
      </c>
      <c r="DZ29" s="438">
        <v>926</v>
      </c>
      <c r="EA29" s="438">
        <f>110560+21107+228017</f>
        <v>359684</v>
      </c>
      <c r="EB29" s="438">
        <f>115887+19130</f>
        <v>135017</v>
      </c>
      <c r="EC29" s="438">
        <v>500589</v>
      </c>
      <c r="ED29" s="438">
        <v>3993698</v>
      </c>
      <c r="EE29" s="438">
        <v>332681</v>
      </c>
      <c r="EF29" s="438">
        <v>702816</v>
      </c>
      <c r="EG29" s="438"/>
      <c r="EH29" s="438"/>
      <c r="EI29" s="438"/>
      <c r="EJ29" s="438"/>
      <c r="EK29" s="438">
        <v>32091893</v>
      </c>
      <c r="EL29" s="814">
        <v>-201710</v>
      </c>
      <c r="EM29" s="612">
        <v>102299</v>
      </c>
      <c r="EN29" s="612">
        <v>346942</v>
      </c>
      <c r="EO29" s="826">
        <v>458796</v>
      </c>
      <c r="EP29" s="612">
        <v>1202971</v>
      </c>
      <c r="EQ29" s="827">
        <v>7521618</v>
      </c>
      <c r="ER29" s="612">
        <v>1138167</v>
      </c>
      <c r="ES29" s="694">
        <v>1792430</v>
      </c>
      <c r="ET29" s="612">
        <v>2433345</v>
      </c>
      <c r="EU29" s="612">
        <v>380316</v>
      </c>
      <c r="EV29" s="612">
        <v>1384656</v>
      </c>
      <c r="EW29" s="612">
        <v>3263293</v>
      </c>
      <c r="EX29" s="827">
        <v>142665102</v>
      </c>
      <c r="EY29" s="763">
        <v>-994652696</v>
      </c>
      <c r="EZ29" s="763">
        <v>-3195805749</v>
      </c>
      <c r="FA29" s="614">
        <v>0</v>
      </c>
      <c r="FB29" s="614">
        <v>0</v>
      </c>
      <c r="FC29" s="763">
        <v>153416542</v>
      </c>
      <c r="FD29" s="763">
        <v>649575000</v>
      </c>
      <c r="FE29" s="763">
        <v>17116557</v>
      </c>
      <c r="FF29" s="763">
        <v>6340154</v>
      </c>
      <c r="FG29" s="763">
        <v>-1826206000</v>
      </c>
      <c r="FH29" s="763">
        <v>-147979379</v>
      </c>
      <c r="FI29" s="763">
        <v>115621504</v>
      </c>
      <c r="FJ29" s="839">
        <v>885010</v>
      </c>
      <c r="FK29" s="645">
        <v>885010000</v>
      </c>
      <c r="FL29" s="645">
        <v>111842841000</v>
      </c>
      <c r="FM29" s="645">
        <v>-6340154000</v>
      </c>
      <c r="FN29" s="645">
        <v>-13480457000</v>
      </c>
      <c r="FO29" s="645">
        <v>-649575000</v>
      </c>
      <c r="FP29" s="645">
        <v>-1024334000</v>
      </c>
    </row>
    <row r="30" spans="1:172" ht="15.75" thickBot="1" x14ac:dyDescent="0.3">
      <c r="A30" s="84" t="s">
        <v>32</v>
      </c>
      <c r="B30" s="180">
        <v>50506813.234999999</v>
      </c>
      <c r="C30" s="134">
        <v>39502305.056000002</v>
      </c>
      <c r="D30" s="157">
        <v>41032675.383000001</v>
      </c>
      <c r="E30" s="157">
        <v>49934932</v>
      </c>
      <c r="F30" s="135">
        <v>48941228</v>
      </c>
      <c r="G30" s="134">
        <v>3156827</v>
      </c>
      <c r="H30" s="157">
        <v>4320478</v>
      </c>
      <c r="I30" s="157">
        <v>4401794</v>
      </c>
      <c r="J30" s="134">
        <v>129245.03599999999</v>
      </c>
      <c r="K30" s="134">
        <v>776755.01399999997</v>
      </c>
      <c r="L30" s="157">
        <v>82422.694000000003</v>
      </c>
      <c r="M30" s="157">
        <v>138736</v>
      </c>
      <c r="N30" s="135">
        <v>1276118</v>
      </c>
      <c r="O30" s="134">
        <v>0</v>
      </c>
      <c r="P30" s="134">
        <v>9944647</v>
      </c>
      <c r="Q30" s="134">
        <v>21316997</v>
      </c>
      <c r="R30" s="134">
        <v>32093163</v>
      </c>
      <c r="S30" s="134">
        <v>0</v>
      </c>
      <c r="T30" s="157">
        <v>0</v>
      </c>
      <c r="U30" s="136">
        <v>151160063</v>
      </c>
      <c r="V30" s="157">
        <v>326986876</v>
      </c>
      <c r="W30" s="157">
        <v>365572102</v>
      </c>
      <c r="X30" s="150">
        <v>375734452</v>
      </c>
      <c r="Y30" s="180">
        <v>99121897</v>
      </c>
      <c r="Z30" s="134">
        <v>59610.179999999993</v>
      </c>
      <c r="AA30" s="157">
        <v>61073331</v>
      </c>
      <c r="AB30" s="157">
        <v>68136741</v>
      </c>
      <c r="AC30" s="135">
        <v>51443710</v>
      </c>
      <c r="AD30" s="134">
        <v>0</v>
      </c>
      <c r="AE30" s="134">
        <v>11308583.194</v>
      </c>
      <c r="AF30" s="171">
        <v>7975833.392</v>
      </c>
      <c r="AG30" s="157">
        <v>7362245</v>
      </c>
      <c r="AH30" s="157">
        <v>8119560</v>
      </c>
      <c r="AI30" s="150">
        <v>0</v>
      </c>
      <c r="AJ30" s="134">
        <v>4704383.6979999999</v>
      </c>
      <c r="AK30" s="191">
        <v>8451716.9130000006</v>
      </c>
      <c r="AL30" s="157">
        <v>6518494</v>
      </c>
      <c r="AM30" s="150">
        <v>3214942</v>
      </c>
      <c r="AN30" s="180">
        <v>422874000</v>
      </c>
      <c r="AO30" s="134">
        <v>379065000</v>
      </c>
      <c r="AP30" s="157">
        <v>463261000</v>
      </c>
      <c r="AQ30" s="150">
        <v>514851000</v>
      </c>
      <c r="AR30" s="150">
        <v>622758000</v>
      </c>
      <c r="AS30" s="240">
        <v>48941228</v>
      </c>
      <c r="AT30" s="134">
        <v>49463207</v>
      </c>
      <c r="AU30" s="251">
        <v>4401794</v>
      </c>
      <c r="AV30" s="251">
        <v>5266942</v>
      </c>
      <c r="AW30" s="240">
        <v>1276118</v>
      </c>
      <c r="AX30" s="134">
        <v>5206656</v>
      </c>
      <c r="AY30" s="134">
        <v>0</v>
      </c>
      <c r="AZ30" s="134">
        <v>0</v>
      </c>
      <c r="BA30" s="246">
        <v>432369906</v>
      </c>
      <c r="BB30" s="246">
        <v>510311703</v>
      </c>
      <c r="BC30" s="240">
        <v>51443710</v>
      </c>
      <c r="BD30" s="134">
        <v>53172339</v>
      </c>
      <c r="BE30" s="246">
        <v>3214942</v>
      </c>
      <c r="BF30" s="134">
        <v>1300258</v>
      </c>
      <c r="BG30" s="251">
        <v>8119560</v>
      </c>
      <c r="BH30" s="134">
        <v>7906380</v>
      </c>
      <c r="BI30" s="246">
        <v>622758000</v>
      </c>
      <c r="BJ30" s="134">
        <v>744536000</v>
      </c>
      <c r="BK30" s="134">
        <v>49463207</v>
      </c>
      <c r="BL30" s="134">
        <v>48070311</v>
      </c>
      <c r="BM30" s="309">
        <v>5338088</v>
      </c>
      <c r="BN30" s="309">
        <v>5451729</v>
      </c>
      <c r="BO30" s="134">
        <v>5206656</v>
      </c>
      <c r="BP30" s="134">
        <v>5889956</v>
      </c>
      <c r="BQ30" s="304">
        <v>510311703</v>
      </c>
      <c r="BR30" s="304">
        <v>598612747</v>
      </c>
      <c r="BS30" s="134">
        <v>53172339</v>
      </c>
      <c r="BT30" s="134">
        <v>43395317</v>
      </c>
      <c r="BU30" s="134">
        <v>1300258</v>
      </c>
      <c r="BV30" s="134">
        <v>2119232</v>
      </c>
      <c r="BW30" s="134">
        <v>7906380</v>
      </c>
      <c r="BX30" s="134">
        <v>13046012</v>
      </c>
      <c r="BY30" s="134">
        <v>744536000</v>
      </c>
      <c r="BZ30" s="134">
        <v>880594000</v>
      </c>
      <c r="CA30" s="423">
        <v>48070311</v>
      </c>
      <c r="CB30" s="423">
        <f t="shared" ref="CB30:CP30" si="11">SUM(CB27:CB29)</f>
        <v>49858734</v>
      </c>
      <c r="CC30" s="424">
        <v>5451729</v>
      </c>
      <c r="CD30" s="424">
        <f t="shared" si="11"/>
        <v>6206271</v>
      </c>
      <c r="CE30" s="423">
        <f>SUM(CE27:CE29)</f>
        <v>6241562</v>
      </c>
      <c r="CF30" s="423">
        <f t="shared" si="11"/>
        <v>7758337</v>
      </c>
      <c r="CG30" s="425">
        <f>SUM(CG27:CG29)</f>
        <v>413088088</v>
      </c>
      <c r="CH30" s="425">
        <f t="shared" si="11"/>
        <v>436270988</v>
      </c>
      <c r="CI30" s="423">
        <v>43395317</v>
      </c>
      <c r="CJ30" s="423">
        <f t="shared" si="11"/>
        <v>44112384</v>
      </c>
      <c r="CK30" s="423">
        <v>2119232</v>
      </c>
      <c r="CL30" s="423">
        <f t="shared" si="11"/>
        <v>0</v>
      </c>
      <c r="CM30" s="423">
        <v>13046012</v>
      </c>
      <c r="CN30" s="423">
        <f t="shared" si="11"/>
        <v>16541801</v>
      </c>
      <c r="CO30" s="423">
        <f>SUM(CO27:CO29)</f>
        <v>766190000</v>
      </c>
      <c r="CP30" s="423">
        <f t="shared" si="11"/>
        <v>1121092000</v>
      </c>
      <c r="CQ30" s="134">
        <v>49858734</v>
      </c>
      <c r="CR30" s="134">
        <v>42845920</v>
      </c>
      <c r="CS30" s="134">
        <v>7157245</v>
      </c>
      <c r="CT30" s="134">
        <v>6648826</v>
      </c>
      <c r="CU30" s="134">
        <v>7638570</v>
      </c>
      <c r="CV30" s="134">
        <v>8047938</v>
      </c>
      <c r="CW30" s="463">
        <v>436270988</v>
      </c>
      <c r="CX30" s="134">
        <v>373411179</v>
      </c>
      <c r="CY30" s="134">
        <v>44112384</v>
      </c>
      <c r="CZ30" s="134">
        <v>49777048</v>
      </c>
      <c r="DA30" s="134">
        <v>0</v>
      </c>
      <c r="DB30" s="134">
        <v>2764120</v>
      </c>
      <c r="DC30" s="134">
        <v>16503546</v>
      </c>
      <c r="DD30" s="134">
        <v>4151219</v>
      </c>
      <c r="DE30" s="134">
        <v>1121092000</v>
      </c>
      <c r="DF30" s="134">
        <v>1057220000</v>
      </c>
      <c r="DG30" s="134">
        <v>41898495</v>
      </c>
      <c r="DH30" s="134">
        <v>47138540</v>
      </c>
      <c r="DI30" s="134">
        <v>6648826</v>
      </c>
      <c r="DJ30" s="134">
        <v>6003554</v>
      </c>
      <c r="DK30" s="134">
        <v>8047938</v>
      </c>
      <c r="DL30" s="134">
        <v>8010854</v>
      </c>
      <c r="DM30" s="476">
        <v>373411179</v>
      </c>
      <c r="DN30" s="134">
        <v>246452611</v>
      </c>
      <c r="DO30" s="134">
        <v>49777048</v>
      </c>
      <c r="DP30" s="134">
        <v>59916980</v>
      </c>
      <c r="DQ30" s="134">
        <v>2764120</v>
      </c>
      <c r="DR30" s="134">
        <v>0</v>
      </c>
      <c r="DS30" s="134">
        <v>4151219</v>
      </c>
      <c r="DT30" s="134">
        <v>0</v>
      </c>
      <c r="DU30" s="134">
        <v>1057220000</v>
      </c>
      <c r="DV30" s="134">
        <v>1017053205</v>
      </c>
      <c r="DW30" s="438">
        <f>+DW29+DW27+DW28</f>
        <v>47138541</v>
      </c>
      <c r="DX30" s="438">
        <f>+DX29+DX27+DX28</f>
        <v>54335308</v>
      </c>
      <c r="DY30" s="438">
        <f t="shared" ref="DY30:EL30" si="12">+DY29+DY27+DY28</f>
        <v>6003554</v>
      </c>
      <c r="DZ30" s="438">
        <f t="shared" si="12"/>
        <v>6655423</v>
      </c>
      <c r="EA30" s="438">
        <f t="shared" si="12"/>
        <v>8010854</v>
      </c>
      <c r="EB30" s="438">
        <f t="shared" si="12"/>
        <v>7876692</v>
      </c>
      <c r="EC30" s="438">
        <f t="shared" si="12"/>
        <v>246452611</v>
      </c>
      <c r="ED30" s="438">
        <f t="shared" si="12"/>
        <v>362230785</v>
      </c>
      <c r="EE30" s="438">
        <f t="shared" si="12"/>
        <v>59916979</v>
      </c>
      <c r="EF30" s="438">
        <f t="shared" si="12"/>
        <v>63976254</v>
      </c>
      <c r="EG30" s="438">
        <f t="shared" si="12"/>
        <v>0</v>
      </c>
      <c r="EH30" s="438">
        <f t="shared" si="12"/>
        <v>0</v>
      </c>
      <c r="EI30" s="438">
        <f t="shared" si="12"/>
        <v>0</v>
      </c>
      <c r="EJ30" s="438">
        <f t="shared" si="12"/>
        <v>0</v>
      </c>
      <c r="EK30" s="438">
        <f t="shared" si="12"/>
        <v>1017053205</v>
      </c>
      <c r="EL30" s="814">
        <f t="shared" si="12"/>
        <v>1155524397</v>
      </c>
      <c r="EM30" s="605"/>
      <c r="EN30" s="605"/>
      <c r="EO30" s="605"/>
      <c r="EP30" s="605"/>
      <c r="EQ30" s="605"/>
      <c r="ER30" s="605"/>
      <c r="ES30" s="605"/>
      <c r="ET30" s="605"/>
      <c r="EU30" s="605"/>
      <c r="EV30" s="605"/>
      <c r="EW30" s="605"/>
      <c r="EX30" s="605"/>
      <c r="EY30" s="605"/>
      <c r="EZ30" s="605"/>
      <c r="FA30" s="605"/>
      <c r="FB30" s="605"/>
      <c r="FC30" s="605"/>
      <c r="FD30" s="605"/>
      <c r="FE30" s="605"/>
      <c r="FF30" s="605"/>
      <c r="FG30" s="605"/>
      <c r="FH30" s="605"/>
      <c r="FI30" s="605"/>
      <c r="FJ30" s="616"/>
      <c r="FK30" s="605"/>
      <c r="FL30" s="605"/>
      <c r="FM30" s="605"/>
      <c r="FN30" s="605"/>
      <c r="FO30" s="605"/>
      <c r="FP30" s="605"/>
    </row>
    <row r="31" spans="1:172" ht="15.75" thickBot="1" x14ac:dyDescent="0.3">
      <c r="A31" s="137" t="s">
        <v>33</v>
      </c>
      <c r="B31" s="181">
        <v>1255336.6820000038</v>
      </c>
      <c r="C31" s="138">
        <v>1270908.9710000008</v>
      </c>
      <c r="D31" s="155">
        <v>-1451740.8039999977</v>
      </c>
      <c r="E31" s="155">
        <v>-1288170</v>
      </c>
      <c r="F31" s="131">
        <v>577594</v>
      </c>
      <c r="G31" s="138">
        <v>324266</v>
      </c>
      <c r="H31" s="155">
        <v>116943</v>
      </c>
      <c r="I31" s="155">
        <v>270773</v>
      </c>
      <c r="J31" s="138">
        <v>-17520.035999999993</v>
      </c>
      <c r="K31" s="138">
        <v>21355</v>
      </c>
      <c r="L31" s="155">
        <v>3683.3059999999969</v>
      </c>
      <c r="M31" s="155">
        <v>11925</v>
      </c>
      <c r="N31" s="131">
        <v>164396</v>
      </c>
      <c r="O31" s="138">
        <v>0</v>
      </c>
      <c r="P31" s="138">
        <v>406295</v>
      </c>
      <c r="Q31" s="138">
        <v>-586948</v>
      </c>
      <c r="R31" s="138">
        <v>-3859293</v>
      </c>
      <c r="S31" s="138">
        <v>0</v>
      </c>
      <c r="T31" s="155">
        <v>0</v>
      </c>
      <c r="U31" s="139">
        <v>-2397612</v>
      </c>
      <c r="V31" s="155">
        <v>-124051</v>
      </c>
      <c r="W31" s="155">
        <v>7135599</v>
      </c>
      <c r="X31" s="133">
        <v>-10426203</v>
      </c>
      <c r="Y31" s="181">
        <v>828157</v>
      </c>
      <c r="Z31" s="138">
        <v>-1206.4709999999977</v>
      </c>
      <c r="AA31" s="195">
        <v>-860033</v>
      </c>
      <c r="AB31" s="195">
        <v>-3130632</v>
      </c>
      <c r="AC31" s="196">
        <v>-1433102</v>
      </c>
      <c r="AD31" s="138">
        <v>0</v>
      </c>
      <c r="AE31" s="138">
        <v>2662523.1860000007</v>
      </c>
      <c r="AF31" s="169">
        <v>258848.49000000022</v>
      </c>
      <c r="AG31" s="155">
        <v>446083</v>
      </c>
      <c r="AH31" s="155">
        <v>-8380</v>
      </c>
      <c r="AI31" s="133">
        <v>0</v>
      </c>
      <c r="AJ31" s="138">
        <v>121466.28500000015</v>
      </c>
      <c r="AK31" s="189">
        <v>355908.2620000001</v>
      </c>
      <c r="AL31" s="155">
        <v>215019</v>
      </c>
      <c r="AM31" s="133">
        <v>55408</v>
      </c>
      <c r="AN31" s="181">
        <v>49332000</v>
      </c>
      <c r="AO31" s="138">
        <v>11780000</v>
      </c>
      <c r="AP31" s="155">
        <v>28811000</v>
      </c>
      <c r="AQ31" s="133">
        <v>-2102000</v>
      </c>
      <c r="AR31" s="133">
        <v>7232000</v>
      </c>
      <c r="AS31" s="260">
        <v>577594</v>
      </c>
      <c r="AT31" s="261">
        <v>1043104</v>
      </c>
      <c r="AU31" s="262">
        <v>270773</v>
      </c>
      <c r="AV31" s="262">
        <v>173316</v>
      </c>
      <c r="AW31" s="260">
        <v>164396</v>
      </c>
      <c r="AX31" s="261">
        <v>279027</v>
      </c>
      <c r="AY31" s="261">
        <v>0</v>
      </c>
      <c r="AZ31" s="261">
        <v>0</v>
      </c>
      <c r="BA31" s="263">
        <v>-10742747</v>
      </c>
      <c r="BB31" s="263">
        <v>-6650850</v>
      </c>
      <c r="BC31" s="264">
        <v>-1433102</v>
      </c>
      <c r="BD31" s="261">
        <v>7638836</v>
      </c>
      <c r="BE31" s="263">
        <v>55408</v>
      </c>
      <c r="BF31" s="261">
        <v>39145</v>
      </c>
      <c r="BG31" s="262">
        <v>-8380</v>
      </c>
      <c r="BH31" s="261">
        <v>119729</v>
      </c>
      <c r="BI31" s="263">
        <v>7232000</v>
      </c>
      <c r="BJ31" s="261">
        <v>4244000</v>
      </c>
      <c r="BK31" s="317">
        <v>1043104</v>
      </c>
      <c r="BL31" s="317">
        <v>1447702</v>
      </c>
      <c r="BM31" s="316">
        <v>113443</v>
      </c>
      <c r="BN31" s="316">
        <v>42609</v>
      </c>
      <c r="BO31" s="317">
        <v>279027</v>
      </c>
      <c r="BP31" s="317">
        <v>562578</v>
      </c>
      <c r="BQ31" s="318">
        <v>-6650850</v>
      </c>
      <c r="BR31" s="318">
        <v>-16055040</v>
      </c>
      <c r="BS31" s="317">
        <v>7638836</v>
      </c>
      <c r="BT31" s="317">
        <v>487552</v>
      </c>
      <c r="BU31" s="317">
        <v>39145</v>
      </c>
      <c r="BV31" s="317">
        <v>79389</v>
      </c>
      <c r="BW31" s="317">
        <v>119729</v>
      </c>
      <c r="BX31" s="317">
        <v>-286113</v>
      </c>
      <c r="BY31" s="317">
        <v>4244000</v>
      </c>
      <c r="BZ31" s="317">
        <v>85334000</v>
      </c>
      <c r="CA31" s="430">
        <v>1447702</v>
      </c>
      <c r="CB31" s="430">
        <f t="shared" ref="CB31:CP31" si="13">+CB23-CB27</f>
        <v>5221365</v>
      </c>
      <c r="CC31" s="431">
        <v>42609</v>
      </c>
      <c r="CD31" s="431">
        <f t="shared" si="13"/>
        <v>268240</v>
      </c>
      <c r="CE31" s="430">
        <f>+CE23-CE27</f>
        <v>563778</v>
      </c>
      <c r="CF31" s="430">
        <f t="shared" si="13"/>
        <v>938163</v>
      </c>
      <c r="CG31" s="432">
        <f>+CG23-CG27</f>
        <v>-15653727</v>
      </c>
      <c r="CH31" s="432">
        <f t="shared" si="13"/>
        <v>-5765189</v>
      </c>
      <c r="CI31" s="430">
        <v>487552</v>
      </c>
      <c r="CJ31" s="430">
        <f t="shared" si="13"/>
        <v>1250635</v>
      </c>
      <c r="CK31" s="430">
        <v>79389</v>
      </c>
      <c r="CL31" s="430">
        <f t="shared" si="13"/>
        <v>0</v>
      </c>
      <c r="CM31" s="433">
        <v>-286113</v>
      </c>
      <c r="CN31" s="430">
        <f t="shared" si="13"/>
        <v>180239</v>
      </c>
      <c r="CO31" s="430">
        <f>+CO23-CO27</f>
        <v>86227000</v>
      </c>
      <c r="CP31" s="430">
        <f t="shared" si="13"/>
        <v>116893000</v>
      </c>
      <c r="CQ31" s="317">
        <v>5221365</v>
      </c>
      <c r="CR31" s="317">
        <v>-59420</v>
      </c>
      <c r="CS31" s="317">
        <v>-277342</v>
      </c>
      <c r="CT31" s="317">
        <v>531921</v>
      </c>
      <c r="CU31" s="317">
        <v>1214360</v>
      </c>
      <c r="CV31" s="317">
        <v>834861</v>
      </c>
      <c r="CW31" s="317">
        <v>-5765189</v>
      </c>
      <c r="CX31" s="317">
        <v>4352562</v>
      </c>
      <c r="CY31" s="317">
        <v>1228177</v>
      </c>
      <c r="CZ31" s="317">
        <v>3951894</v>
      </c>
      <c r="DA31" s="317">
        <v>0</v>
      </c>
      <c r="DB31" s="317">
        <v>186716</v>
      </c>
      <c r="DC31" s="317">
        <v>-230265</v>
      </c>
      <c r="DD31" s="317">
        <v>-684611</v>
      </c>
      <c r="DE31" s="317">
        <v>116893000</v>
      </c>
      <c r="DF31" s="317">
        <v>198629000</v>
      </c>
      <c r="DG31" s="317">
        <v>8884</v>
      </c>
      <c r="DH31" s="317">
        <v>-706074</v>
      </c>
      <c r="DI31" s="317">
        <v>531921</v>
      </c>
      <c r="DJ31" s="317">
        <v>-32384</v>
      </c>
      <c r="DK31" s="317">
        <v>834861</v>
      </c>
      <c r="DL31" s="317">
        <v>1203146</v>
      </c>
      <c r="DM31" s="317">
        <v>4352562</v>
      </c>
      <c r="DN31" s="317">
        <v>12448523</v>
      </c>
      <c r="DO31" s="317">
        <v>3951894</v>
      </c>
      <c r="DP31" s="317">
        <v>2876301</v>
      </c>
      <c r="DQ31" s="317">
        <v>186716</v>
      </c>
      <c r="DR31" s="317">
        <v>0</v>
      </c>
      <c r="DS31" s="317">
        <v>-684611</v>
      </c>
      <c r="DT31" s="317">
        <v>0</v>
      </c>
      <c r="DU31" s="317">
        <v>198629000</v>
      </c>
      <c r="DV31" s="317">
        <v>116018443</v>
      </c>
      <c r="DW31" s="438">
        <f>+DW23-DW27</f>
        <v>4316141</v>
      </c>
      <c r="DX31" s="438">
        <f>+DX23-DX27</f>
        <v>3158731</v>
      </c>
      <c r="DY31" s="438">
        <f>+DY23-DY27</f>
        <v>-32384</v>
      </c>
      <c r="DZ31" s="438">
        <f t="shared" ref="DZ31:EL31" si="14">+DZ23-DZ27</f>
        <v>222737</v>
      </c>
      <c r="EA31" s="438">
        <f t="shared" si="14"/>
        <v>2387334</v>
      </c>
      <c r="EB31" s="438">
        <f t="shared" si="14"/>
        <v>2164577</v>
      </c>
      <c r="EC31" s="438">
        <f t="shared" si="14"/>
        <v>12448523</v>
      </c>
      <c r="ED31" s="438">
        <f t="shared" si="14"/>
        <v>5700447</v>
      </c>
      <c r="EE31" s="438">
        <f t="shared" si="14"/>
        <v>1028509</v>
      </c>
      <c r="EF31" s="438">
        <f t="shared" si="14"/>
        <v>2518227</v>
      </c>
      <c r="EG31" s="438">
        <f t="shared" si="14"/>
        <v>0</v>
      </c>
      <c r="EH31" s="438">
        <f t="shared" si="14"/>
        <v>0</v>
      </c>
      <c r="EI31" s="438">
        <f t="shared" si="14"/>
        <v>0</v>
      </c>
      <c r="EJ31" s="438">
        <f t="shared" si="14"/>
        <v>0</v>
      </c>
      <c r="EK31" s="438">
        <f t="shared" si="14"/>
        <v>116018443</v>
      </c>
      <c r="EL31" s="814">
        <f t="shared" si="14"/>
        <v>139769534</v>
      </c>
      <c r="EM31" s="828">
        <v>778526</v>
      </c>
      <c r="EN31" s="829">
        <v>488767</v>
      </c>
      <c r="EO31" s="830">
        <v>-356702</v>
      </c>
      <c r="EP31" s="831">
        <v>722408</v>
      </c>
      <c r="EQ31" s="832">
        <v>2756864</v>
      </c>
      <c r="ER31" s="832">
        <v>6503951</v>
      </c>
      <c r="ES31" s="833">
        <v>5483463</v>
      </c>
      <c r="ET31" s="833">
        <v>6248018</v>
      </c>
      <c r="EU31" s="828">
        <v>1293044</v>
      </c>
      <c r="EV31" s="828">
        <v>2124923</v>
      </c>
      <c r="EW31" s="834">
        <v>-132244503</v>
      </c>
      <c r="EX31" s="829">
        <v>436691736</v>
      </c>
      <c r="EY31" s="763">
        <v>3814944213</v>
      </c>
      <c r="EZ31" s="763">
        <v>3895873895</v>
      </c>
      <c r="FA31" s="763">
        <v>-762308545</v>
      </c>
      <c r="FB31" s="763">
        <v>-580577751</v>
      </c>
      <c r="FC31" s="763">
        <v>1736216170</v>
      </c>
      <c r="FD31" s="763">
        <v>1844279965</v>
      </c>
      <c r="FE31" s="763">
        <v>-14732488</v>
      </c>
      <c r="FF31" s="763">
        <v>-5491590</v>
      </c>
      <c r="FG31" s="763">
        <v>2888965982</v>
      </c>
      <c r="FH31" s="763">
        <v>-20006375088</v>
      </c>
      <c r="FI31" s="763">
        <v>-184524292</v>
      </c>
      <c r="FJ31" s="839">
        <v>199162011</v>
      </c>
      <c r="FK31" s="774">
        <v>199162011000</v>
      </c>
      <c r="FL31" s="774">
        <v>-44117740000</v>
      </c>
      <c r="FM31" s="774">
        <v>5899774000</v>
      </c>
      <c r="FN31" s="774">
        <v>4207631000</v>
      </c>
      <c r="FO31" s="774">
        <v>1844279965</v>
      </c>
      <c r="FP31" s="774">
        <v>3200165790</v>
      </c>
    </row>
    <row r="32" spans="1:172" ht="15.75" thickBot="1" x14ac:dyDescent="0.3">
      <c r="A32" s="87" t="s">
        <v>34</v>
      </c>
      <c r="B32" s="182">
        <v>704074.875</v>
      </c>
      <c r="C32" s="140">
        <v>650411.78000000119</v>
      </c>
      <c r="D32" s="158">
        <v>-1190801.2960000038</v>
      </c>
      <c r="E32" s="158">
        <v>-2142597</v>
      </c>
      <c r="F32" s="141">
        <v>468249</v>
      </c>
      <c r="G32" s="140">
        <v>60647</v>
      </c>
      <c r="H32" s="141">
        <v>109689</v>
      </c>
      <c r="I32" s="141">
        <v>225775</v>
      </c>
      <c r="J32" s="140">
        <v>-18370.035999999993</v>
      </c>
      <c r="K32" s="140">
        <v>14068</v>
      </c>
      <c r="L32" s="158">
        <v>77.305999999996857</v>
      </c>
      <c r="M32" s="158">
        <v>4189</v>
      </c>
      <c r="N32" s="141">
        <v>103093</v>
      </c>
      <c r="O32" s="140">
        <v>0</v>
      </c>
      <c r="P32" s="140">
        <v>210801</v>
      </c>
      <c r="Q32" s="140">
        <v>-1167323</v>
      </c>
      <c r="R32" s="140">
        <v>-4534631</v>
      </c>
      <c r="S32" s="140">
        <v>0</v>
      </c>
      <c r="T32" s="158">
        <v>4094</v>
      </c>
      <c r="U32" s="142">
        <v>-426219</v>
      </c>
      <c r="V32" s="158">
        <v>898720</v>
      </c>
      <c r="W32" s="158">
        <v>3857966</v>
      </c>
      <c r="X32" s="144">
        <v>-10133502</v>
      </c>
      <c r="Y32" s="182">
        <v>1888482</v>
      </c>
      <c r="Z32" s="140">
        <v>-2020.3849999999948</v>
      </c>
      <c r="AA32" s="197">
        <v>-1270189</v>
      </c>
      <c r="AB32" s="197">
        <v>-1683881</v>
      </c>
      <c r="AC32" s="198">
        <v>-2371497</v>
      </c>
      <c r="AD32" s="140">
        <v>0</v>
      </c>
      <c r="AE32" s="140">
        <v>308677.83300000057</v>
      </c>
      <c r="AF32" s="172">
        <v>166039.79600000009</v>
      </c>
      <c r="AG32" s="158">
        <v>233448</v>
      </c>
      <c r="AH32" s="158">
        <v>2933</v>
      </c>
      <c r="AI32" s="143">
        <v>0</v>
      </c>
      <c r="AJ32" s="140">
        <v>81382.411000000313</v>
      </c>
      <c r="AK32" s="172">
        <v>257543.50599999912</v>
      </c>
      <c r="AL32" s="158">
        <v>135627</v>
      </c>
      <c r="AM32" s="144">
        <v>37123</v>
      </c>
      <c r="AN32" s="182">
        <v>94449000</v>
      </c>
      <c r="AO32" s="140">
        <v>2267000</v>
      </c>
      <c r="AP32" s="158">
        <v>-33003000</v>
      </c>
      <c r="AQ32" s="144">
        <v>-2743000</v>
      </c>
      <c r="AR32" s="144">
        <v>-3351000</v>
      </c>
      <c r="AS32" s="254">
        <v>468249</v>
      </c>
      <c r="AT32" s="258">
        <v>277440</v>
      </c>
      <c r="AU32" s="256">
        <v>225775</v>
      </c>
      <c r="AV32" s="256">
        <v>108903</v>
      </c>
      <c r="AW32" s="254">
        <v>103093</v>
      </c>
      <c r="AX32" s="258">
        <v>169735</v>
      </c>
      <c r="AY32" s="258">
        <v>0</v>
      </c>
      <c r="AZ32" s="258">
        <v>0</v>
      </c>
      <c r="BA32" s="265">
        <v>-10133502</v>
      </c>
      <c r="BB32" s="265">
        <v>-4731147</v>
      </c>
      <c r="BC32" s="259">
        <v>-2371497</v>
      </c>
      <c r="BD32" s="258">
        <v>6386909</v>
      </c>
      <c r="BE32" s="257">
        <v>37123</v>
      </c>
      <c r="BF32" s="258">
        <v>16402</v>
      </c>
      <c r="BG32" s="256">
        <v>2933</v>
      </c>
      <c r="BH32" s="258">
        <v>88811</v>
      </c>
      <c r="BI32" s="265">
        <v>-3351000</v>
      </c>
      <c r="BJ32" s="266">
        <v>-2743000</v>
      </c>
      <c r="BK32" s="314">
        <v>277440</v>
      </c>
      <c r="BL32" s="314">
        <v>311491</v>
      </c>
      <c r="BM32" s="312">
        <v>37757</v>
      </c>
      <c r="BN32" s="312">
        <v>105532</v>
      </c>
      <c r="BO32" s="314">
        <v>169735</v>
      </c>
      <c r="BP32" s="314">
        <v>900243</v>
      </c>
      <c r="BQ32" s="315">
        <v>-4731147</v>
      </c>
      <c r="BR32" s="315">
        <v>-9057345</v>
      </c>
      <c r="BS32" s="314">
        <v>6386909</v>
      </c>
      <c r="BT32" s="314">
        <v>3966104</v>
      </c>
      <c r="BU32" s="314">
        <v>16402</v>
      </c>
      <c r="BV32" s="314">
        <v>40568</v>
      </c>
      <c r="BW32" s="314">
        <v>88811</v>
      </c>
      <c r="BX32" s="315">
        <v>-130361</v>
      </c>
      <c r="BY32" s="315">
        <v>-2743000</v>
      </c>
      <c r="BZ32" s="315">
        <v>-27936000</v>
      </c>
      <c r="CA32" s="434">
        <v>311491</v>
      </c>
      <c r="CB32" s="434">
        <f t="shared" ref="CB32:CP32" si="15">+CB25-CB30</f>
        <v>3901749</v>
      </c>
      <c r="CC32" s="421">
        <v>105532</v>
      </c>
      <c r="CD32" s="421">
        <f t="shared" si="15"/>
        <v>163528</v>
      </c>
      <c r="CE32" s="434">
        <f>+CE25-CE30</f>
        <v>577863</v>
      </c>
      <c r="CF32" s="434">
        <f t="shared" si="15"/>
        <v>111242</v>
      </c>
      <c r="CG32" s="432">
        <f>+CG25-CG30</f>
        <v>-14747154</v>
      </c>
      <c r="CH32" s="432">
        <f t="shared" si="15"/>
        <v>-2326589</v>
      </c>
      <c r="CI32" s="434">
        <v>3966104</v>
      </c>
      <c r="CJ32" s="434">
        <f t="shared" si="15"/>
        <v>811606</v>
      </c>
      <c r="CK32" s="434">
        <v>40568</v>
      </c>
      <c r="CL32" s="434">
        <f t="shared" si="15"/>
        <v>0</v>
      </c>
      <c r="CM32" s="432">
        <v>-130361</v>
      </c>
      <c r="CN32" s="434">
        <f t="shared" si="15"/>
        <v>93194</v>
      </c>
      <c r="CO32" s="434">
        <f>+CO25-CO30</f>
        <v>68392000</v>
      </c>
      <c r="CP32" s="434">
        <f t="shared" si="15"/>
        <v>137375000</v>
      </c>
      <c r="CQ32" s="314">
        <v>3901749</v>
      </c>
      <c r="CR32" s="314">
        <v>179840</v>
      </c>
      <c r="CS32" s="314">
        <v>-454087</v>
      </c>
      <c r="CT32" s="314">
        <v>-22982</v>
      </c>
      <c r="CU32" s="314">
        <v>231009</v>
      </c>
      <c r="CV32" s="314">
        <v>163735</v>
      </c>
      <c r="CW32" s="315">
        <v>-2326589</v>
      </c>
      <c r="CX32" s="314">
        <v>-2437491</v>
      </c>
      <c r="CY32" s="314">
        <v>811606</v>
      </c>
      <c r="CZ32" s="314">
        <v>1990432</v>
      </c>
      <c r="DA32" s="314">
        <v>0</v>
      </c>
      <c r="DB32" s="314">
        <v>186716</v>
      </c>
      <c r="DC32" s="314">
        <v>131448</v>
      </c>
      <c r="DD32" s="314">
        <v>-730115</v>
      </c>
      <c r="DE32" s="314">
        <v>137375000</v>
      </c>
      <c r="DF32" s="314">
        <v>143600000</v>
      </c>
      <c r="DG32" s="314">
        <v>1127265</v>
      </c>
      <c r="DH32" s="314">
        <v>-1803305</v>
      </c>
      <c r="DI32" s="314">
        <v>-22982</v>
      </c>
      <c r="DJ32" s="314">
        <v>-127618</v>
      </c>
      <c r="DK32" s="314">
        <v>163735</v>
      </c>
      <c r="DL32" s="314">
        <v>632589</v>
      </c>
      <c r="DM32" s="315">
        <v>-2437491</v>
      </c>
      <c r="DN32" s="314">
        <v>10489274</v>
      </c>
      <c r="DO32" s="314">
        <v>1990432</v>
      </c>
      <c r="DP32" s="314">
        <v>1200068</v>
      </c>
      <c r="DQ32" s="314">
        <v>186716</v>
      </c>
      <c r="DR32" s="314">
        <v>0</v>
      </c>
      <c r="DS32" s="314">
        <v>-730115</v>
      </c>
      <c r="DT32" s="314">
        <v>0</v>
      </c>
      <c r="DU32" s="314">
        <v>143600000</v>
      </c>
      <c r="DV32" s="314">
        <v>59122955</v>
      </c>
      <c r="DW32" s="483">
        <f>+DW25-DW30</f>
        <v>-1803306</v>
      </c>
      <c r="DX32" s="483">
        <f>+DX25-DX30</f>
        <v>-371175</v>
      </c>
      <c r="DY32" s="483">
        <f t="shared" ref="DY32:EL32" si="16">+DY25-DY30</f>
        <v>-127618</v>
      </c>
      <c r="DZ32" s="483">
        <f t="shared" si="16"/>
        <v>183003</v>
      </c>
      <c r="EA32" s="483">
        <f t="shared" si="16"/>
        <v>632589</v>
      </c>
      <c r="EB32" s="483">
        <f t="shared" si="16"/>
        <v>560179</v>
      </c>
      <c r="EC32" s="483">
        <f t="shared" si="16"/>
        <v>11069457</v>
      </c>
      <c r="ED32" s="483">
        <f t="shared" si="16"/>
        <v>3793711</v>
      </c>
      <c r="EE32" s="483">
        <f t="shared" si="16"/>
        <v>1200068</v>
      </c>
      <c r="EF32" s="483">
        <f t="shared" si="16"/>
        <v>406230</v>
      </c>
      <c r="EG32" s="483">
        <f t="shared" si="16"/>
        <v>0</v>
      </c>
      <c r="EH32" s="483">
        <f t="shared" si="16"/>
        <v>0</v>
      </c>
      <c r="EI32" s="483">
        <f t="shared" si="16"/>
        <v>0</v>
      </c>
      <c r="EJ32" s="483">
        <f t="shared" si="16"/>
        <v>0</v>
      </c>
      <c r="EK32" s="483">
        <f t="shared" si="16"/>
        <v>59122955</v>
      </c>
      <c r="EL32" s="816">
        <f t="shared" si="16"/>
        <v>100955984</v>
      </c>
      <c r="EM32" s="817">
        <v>184161</v>
      </c>
      <c r="EN32" s="818">
        <v>-15314</v>
      </c>
      <c r="EO32" s="819">
        <v>-675134</v>
      </c>
      <c r="EP32" s="820">
        <v>682281</v>
      </c>
      <c r="EQ32" s="818">
        <v>-7925722</v>
      </c>
      <c r="ER32" s="818">
        <v>-8606253</v>
      </c>
      <c r="ES32" s="822">
        <v>1478722</v>
      </c>
      <c r="ET32" s="822">
        <v>1502099</v>
      </c>
      <c r="EU32" s="822">
        <v>168755</v>
      </c>
      <c r="EV32" s="822">
        <v>2553344</v>
      </c>
      <c r="EW32" s="818">
        <v>-185294085</v>
      </c>
      <c r="EX32" s="822">
        <v>293269632</v>
      </c>
      <c r="EY32" s="835">
        <v>2935925788</v>
      </c>
      <c r="EZ32" s="721">
        <v>3745901820</v>
      </c>
      <c r="FA32" s="720">
        <v>-390616305</v>
      </c>
      <c r="FB32" s="720">
        <v>-668652550</v>
      </c>
      <c r="FC32" s="835">
        <v>307365160</v>
      </c>
      <c r="FD32" s="721">
        <v>324021992</v>
      </c>
      <c r="FE32" s="835">
        <f>+FE30+FE31</f>
        <v>-14732488</v>
      </c>
      <c r="FF32" s="721">
        <v>-41510513</v>
      </c>
      <c r="FG32" s="835">
        <f>+FG30+FG31</f>
        <v>2888965982</v>
      </c>
      <c r="FH32" s="835">
        <f>+FH30+FH31</f>
        <v>-20006375088</v>
      </c>
      <c r="FI32" s="721">
        <v>-477241207</v>
      </c>
      <c r="FJ32" s="841">
        <v>123869279</v>
      </c>
      <c r="FK32" s="774">
        <v>123869279000</v>
      </c>
      <c r="FL32" s="774">
        <v>-247736314000</v>
      </c>
      <c r="FM32" s="774">
        <v>-41510513000</v>
      </c>
      <c r="FN32" s="774">
        <v>-32650542000</v>
      </c>
      <c r="FO32" s="774">
        <v>145035309</v>
      </c>
      <c r="FP32" s="774">
        <v>144056398</v>
      </c>
    </row>
  </sheetData>
  <mergeCells count="74">
    <mergeCell ref="FK1:FL1"/>
    <mergeCell ref="FM1:FN1"/>
    <mergeCell ref="FO1:FP1"/>
    <mergeCell ref="EG1:EH1"/>
    <mergeCell ref="EI1:EJ1"/>
    <mergeCell ref="EK1:EL1"/>
    <mergeCell ref="DW1:DX1"/>
    <mergeCell ref="DY1:DZ1"/>
    <mergeCell ref="EA1:EB1"/>
    <mergeCell ref="EC1:ED1"/>
    <mergeCell ref="EE1:EF1"/>
    <mergeCell ref="DO1:DP1"/>
    <mergeCell ref="DS1:DT1"/>
    <mergeCell ref="DQ1:DR1"/>
    <mergeCell ref="DU1:DV1"/>
    <mergeCell ref="DG1:DH1"/>
    <mergeCell ref="DI1:DJ1"/>
    <mergeCell ref="DK1:DL1"/>
    <mergeCell ref="DE1:DF1"/>
    <mergeCell ref="CQ1:CR1"/>
    <mergeCell ref="CS1:CT1"/>
    <mergeCell ref="CU1:CV1"/>
    <mergeCell ref="DM1:DN1"/>
    <mergeCell ref="CO1:CP1"/>
    <mergeCell ref="CW1:CX1"/>
    <mergeCell ref="CY1:CZ1"/>
    <mergeCell ref="DC1:DD1"/>
    <mergeCell ref="DA1:DB1"/>
    <mergeCell ref="CE1:CF1"/>
    <mergeCell ref="CG1:CH1"/>
    <mergeCell ref="CI1:CJ1"/>
    <mergeCell ref="CK1:CL1"/>
    <mergeCell ref="CM1:CN1"/>
    <mergeCell ref="BK1:BL1"/>
    <mergeCell ref="BM1:BN1"/>
    <mergeCell ref="BO1:BP1"/>
    <mergeCell ref="CA1:CB1"/>
    <mergeCell ref="CC1:CD1"/>
    <mergeCell ref="BQ1:BR1"/>
    <mergeCell ref="BS1:BT1"/>
    <mergeCell ref="BW1:BX1"/>
    <mergeCell ref="BU1:BV1"/>
    <mergeCell ref="BY1:BZ1"/>
    <mergeCell ref="BE1:BF1"/>
    <mergeCell ref="BI1:BJ1"/>
    <mergeCell ref="AS1:AT1"/>
    <mergeCell ref="AU1:AV1"/>
    <mergeCell ref="AW1:AX1"/>
    <mergeCell ref="AY1:AZ1"/>
    <mergeCell ref="BA1:BB1"/>
    <mergeCell ref="BC1:BD1"/>
    <mergeCell ref="BG1:BH1"/>
    <mergeCell ref="A1:A2"/>
    <mergeCell ref="AI1:AM1"/>
    <mergeCell ref="AN1:AR1"/>
    <mergeCell ref="B1:F1"/>
    <mergeCell ref="G1:I1"/>
    <mergeCell ref="J1:N1"/>
    <mergeCell ref="O1:S1"/>
    <mergeCell ref="T1:X1"/>
    <mergeCell ref="Y1:AC1"/>
    <mergeCell ref="AD1:AH1"/>
    <mergeCell ref="EW1:EX1"/>
    <mergeCell ref="EM1:EN1"/>
    <mergeCell ref="EO1:EP1"/>
    <mergeCell ref="EQ1:ER1"/>
    <mergeCell ref="ES1:ET1"/>
    <mergeCell ref="EU1:EV1"/>
    <mergeCell ref="FI1:FJ1"/>
    <mergeCell ref="EY1:EZ1"/>
    <mergeCell ref="FA1:FB1"/>
    <mergeCell ref="FC1:FD1"/>
    <mergeCell ref="FE1:FF1"/>
    <mergeCell ref="FG1:FH1"/>
  </mergeCells>
  <conditionalFormatting sqref="ES17:ET17">
    <cfRule type="cellIs" dxfId="87" priority="114" stopIfTrue="1" operator="lessThan">
      <formula>0</formula>
    </cfRule>
    <cfRule type="uniqueValues" priority="115" stopIfTrue="1"/>
    <cfRule type="cellIs" dxfId="86" priority="116" stopIfTrue="1" operator="lessThan">
      <formula>0</formula>
    </cfRule>
    <cfRule type="cellIs" dxfId="85" priority="117" stopIfTrue="1" operator="lessThan">
      <formula>-74404846</formula>
    </cfRule>
  </conditionalFormatting>
  <conditionalFormatting sqref="EQ17">
    <cfRule type="cellIs" dxfId="84" priority="110" stopIfTrue="1" operator="lessThan">
      <formula>0</formula>
    </cfRule>
    <cfRule type="uniqueValues" priority="111" stopIfTrue="1"/>
    <cfRule type="cellIs" dxfId="83" priority="112" stopIfTrue="1" operator="lessThan">
      <formula>0</formula>
    </cfRule>
    <cfRule type="cellIs" dxfId="82" priority="113" stopIfTrue="1" operator="lessThan">
      <formula>-74404846</formula>
    </cfRule>
  </conditionalFormatting>
  <conditionalFormatting sqref="ER17">
    <cfRule type="cellIs" dxfId="81" priority="106" stopIfTrue="1" operator="lessThan">
      <formula>0</formula>
    </cfRule>
    <cfRule type="uniqueValues" priority="107" stopIfTrue="1"/>
    <cfRule type="cellIs" dxfId="80" priority="108" stopIfTrue="1" operator="lessThan">
      <formula>0</formula>
    </cfRule>
    <cfRule type="cellIs" dxfId="79" priority="109" stopIfTrue="1" operator="lessThan">
      <formula>-74404846</formula>
    </cfRule>
  </conditionalFormatting>
  <conditionalFormatting sqref="ER16">
    <cfRule type="cellIs" dxfId="78" priority="102" stopIfTrue="1" operator="lessThan">
      <formula>0</formula>
    </cfRule>
    <cfRule type="uniqueValues" priority="103" stopIfTrue="1"/>
    <cfRule type="cellIs" dxfId="77" priority="104" stopIfTrue="1" operator="lessThan">
      <formula>0</formula>
    </cfRule>
    <cfRule type="cellIs" dxfId="76" priority="105" stopIfTrue="1" operator="lessThan">
      <formula>-74404846</formula>
    </cfRule>
  </conditionalFormatting>
  <conditionalFormatting sqref="EQ16">
    <cfRule type="cellIs" dxfId="75" priority="98" stopIfTrue="1" operator="lessThan">
      <formula>0</formula>
    </cfRule>
    <cfRule type="uniqueValues" priority="99" stopIfTrue="1"/>
    <cfRule type="cellIs" dxfId="74" priority="100" stopIfTrue="1" operator="lessThan">
      <formula>0</formula>
    </cfRule>
    <cfRule type="cellIs" dxfId="73" priority="101" stopIfTrue="1" operator="lessThan">
      <formula>-74404846</formula>
    </cfRule>
  </conditionalFormatting>
  <conditionalFormatting sqref="EW16">
    <cfRule type="cellIs" dxfId="72" priority="94" stopIfTrue="1" operator="lessThan">
      <formula>0</formula>
    </cfRule>
    <cfRule type="uniqueValues" priority="95" stopIfTrue="1"/>
    <cfRule type="cellIs" dxfId="71" priority="96" stopIfTrue="1" operator="lessThan">
      <formula>0</formula>
    </cfRule>
    <cfRule type="cellIs" dxfId="70" priority="97" stopIfTrue="1" operator="lessThan">
      <formula>-74404846</formula>
    </cfRule>
  </conditionalFormatting>
  <conditionalFormatting sqref="EW16">
    <cfRule type="cellIs" dxfId="69" priority="90" stopIfTrue="1" operator="lessThan">
      <formula>0</formula>
    </cfRule>
    <cfRule type="uniqueValues" priority="91" stopIfTrue="1"/>
    <cfRule type="cellIs" dxfId="68" priority="92" stopIfTrue="1" operator="lessThan">
      <formula>0</formula>
    </cfRule>
    <cfRule type="cellIs" dxfId="67" priority="93" stopIfTrue="1" operator="lessThan">
      <formula>-74404846</formula>
    </cfRule>
  </conditionalFormatting>
  <conditionalFormatting sqref="EX16">
    <cfRule type="cellIs" dxfId="66" priority="86" stopIfTrue="1" operator="lessThan">
      <formula>0</formula>
    </cfRule>
    <cfRule type="uniqueValues" priority="87" stopIfTrue="1"/>
    <cfRule type="cellIs" dxfId="65" priority="88" stopIfTrue="1" operator="lessThan">
      <formula>0</formula>
    </cfRule>
    <cfRule type="cellIs" dxfId="64" priority="89" stopIfTrue="1" operator="lessThan">
      <formula>-74404846</formula>
    </cfRule>
  </conditionalFormatting>
  <conditionalFormatting sqref="EX16">
    <cfRule type="cellIs" dxfId="63" priority="82" stopIfTrue="1" operator="lessThan">
      <formula>0</formula>
    </cfRule>
    <cfRule type="uniqueValues" priority="83" stopIfTrue="1"/>
    <cfRule type="cellIs" dxfId="62" priority="84" stopIfTrue="1" operator="lessThan">
      <formula>0</formula>
    </cfRule>
    <cfRule type="cellIs" dxfId="61" priority="85" stopIfTrue="1" operator="lessThan">
      <formula>-74404846</formula>
    </cfRule>
  </conditionalFormatting>
  <conditionalFormatting sqref="EU16:EV16">
    <cfRule type="cellIs" dxfId="60" priority="78" stopIfTrue="1" operator="lessThan">
      <formula>0</formula>
    </cfRule>
    <cfRule type="uniqueValues" priority="79" stopIfTrue="1"/>
    <cfRule type="cellIs" dxfId="59" priority="80" stopIfTrue="1" operator="lessThan">
      <formula>0</formula>
    </cfRule>
    <cfRule type="cellIs" dxfId="58" priority="81" stopIfTrue="1" operator="lessThan">
      <formula>-74404846</formula>
    </cfRule>
  </conditionalFormatting>
  <conditionalFormatting sqref="ET16">
    <cfRule type="cellIs" dxfId="57" priority="74" stopIfTrue="1" operator="lessThan">
      <formula>0</formula>
    </cfRule>
    <cfRule type="uniqueValues" priority="75" stopIfTrue="1"/>
    <cfRule type="cellIs" dxfId="56" priority="76" stopIfTrue="1" operator="lessThan">
      <formula>0</formula>
    </cfRule>
    <cfRule type="cellIs" dxfId="55" priority="77" stopIfTrue="1" operator="lessThan">
      <formula>-74404846</formula>
    </cfRule>
  </conditionalFormatting>
  <conditionalFormatting sqref="ES16">
    <cfRule type="cellIs" dxfId="54" priority="70" stopIfTrue="1" operator="lessThan">
      <formula>0</formula>
    </cfRule>
    <cfRule type="uniqueValues" priority="71" stopIfTrue="1"/>
    <cfRule type="cellIs" dxfId="53" priority="72" stopIfTrue="1" operator="lessThan">
      <formula>0</formula>
    </cfRule>
    <cfRule type="cellIs" dxfId="52" priority="73" stopIfTrue="1" operator="lessThan">
      <formula>-74404846</formula>
    </cfRule>
  </conditionalFormatting>
  <conditionalFormatting sqref="EM16">
    <cfRule type="cellIs" dxfId="51" priority="66" stopIfTrue="1" operator="lessThan">
      <formula>0</formula>
    </cfRule>
    <cfRule type="uniqueValues" priority="67" stopIfTrue="1"/>
    <cfRule type="cellIs" dxfId="50" priority="68" stopIfTrue="1" operator="lessThan">
      <formula>0</formula>
    </cfRule>
    <cfRule type="cellIs" dxfId="49" priority="69" stopIfTrue="1" operator="lessThan">
      <formula>-74404846</formula>
    </cfRule>
  </conditionalFormatting>
  <conditionalFormatting sqref="EO16">
    <cfRule type="cellIs" dxfId="48" priority="62" stopIfTrue="1" operator="lessThan">
      <formula>0</formula>
    </cfRule>
    <cfRule type="uniqueValues" priority="63" stopIfTrue="1"/>
    <cfRule type="cellIs" dxfId="47" priority="64" stopIfTrue="1" operator="lessThan">
      <formula>0</formula>
    </cfRule>
    <cfRule type="cellIs" dxfId="46" priority="65" stopIfTrue="1" operator="lessThan">
      <formula>-74404846</formula>
    </cfRule>
  </conditionalFormatting>
  <conditionalFormatting sqref="EM31">
    <cfRule type="cellIs" dxfId="45" priority="57" stopIfTrue="1" operator="lessThan">
      <formula>0</formula>
    </cfRule>
  </conditionalFormatting>
  <conditionalFormatting sqref="EW32">
    <cfRule type="cellIs" dxfId="44" priority="53" stopIfTrue="1" operator="lessThan">
      <formula>0</formula>
    </cfRule>
    <cfRule type="uniqueValues" priority="54" stopIfTrue="1"/>
    <cfRule type="cellIs" dxfId="43" priority="55" stopIfTrue="1" operator="lessThan">
      <formula>0</formula>
    </cfRule>
    <cfRule type="cellIs" dxfId="42" priority="56" stopIfTrue="1" operator="lessThan">
      <formula>-74404846</formula>
    </cfRule>
  </conditionalFormatting>
  <conditionalFormatting sqref="EW32">
    <cfRule type="cellIs" dxfId="41" priority="49" stopIfTrue="1" operator="lessThan">
      <formula>0</formula>
    </cfRule>
    <cfRule type="uniqueValues" priority="50" stopIfTrue="1"/>
    <cfRule type="cellIs" dxfId="40" priority="51" stopIfTrue="1" operator="lessThan">
      <formula>0</formula>
    </cfRule>
    <cfRule type="cellIs" dxfId="39" priority="52" stopIfTrue="1" operator="lessThan">
      <formula>-74404846</formula>
    </cfRule>
  </conditionalFormatting>
  <conditionalFormatting sqref="EO31">
    <cfRule type="cellIs" dxfId="38" priority="58" stopIfTrue="1" operator="lessThan">
      <formula>0</formula>
    </cfRule>
    <cfRule type="uniqueValues" priority="59" stopIfTrue="1"/>
    <cfRule type="cellIs" dxfId="37" priority="60" stopIfTrue="1" operator="lessThan">
      <formula>0</formula>
    </cfRule>
    <cfRule type="cellIs" dxfId="36" priority="61" stopIfTrue="1" operator="lessThan">
      <formula>-74404846</formula>
    </cfRule>
  </conditionalFormatting>
  <conditionalFormatting sqref="EX31">
    <cfRule type="cellIs" dxfId="35" priority="45" stopIfTrue="1" operator="lessThan">
      <formula>0</formula>
    </cfRule>
    <cfRule type="uniqueValues" priority="46" stopIfTrue="1"/>
    <cfRule type="cellIs" dxfId="34" priority="47" stopIfTrue="1" operator="lessThan">
      <formula>0</formula>
    </cfRule>
    <cfRule type="cellIs" dxfId="33" priority="48" stopIfTrue="1" operator="lessThan">
      <formula>-74404846</formula>
    </cfRule>
  </conditionalFormatting>
  <conditionalFormatting sqref="EX32">
    <cfRule type="cellIs" dxfId="32" priority="41" stopIfTrue="1" operator="lessThan">
      <formula>0</formula>
    </cfRule>
    <cfRule type="uniqueValues" priority="42" stopIfTrue="1"/>
    <cfRule type="cellIs" dxfId="31" priority="43" stopIfTrue="1" operator="lessThan">
      <formula>0</formula>
    </cfRule>
    <cfRule type="cellIs" dxfId="30" priority="44" stopIfTrue="1" operator="lessThan">
      <formula>-74404846</formula>
    </cfRule>
  </conditionalFormatting>
  <conditionalFormatting sqref="EX32">
    <cfRule type="cellIs" dxfId="29" priority="37" stopIfTrue="1" operator="lessThan">
      <formula>0</formula>
    </cfRule>
    <cfRule type="uniqueValues" priority="38" stopIfTrue="1"/>
    <cfRule type="cellIs" dxfId="28" priority="39" stopIfTrue="1" operator="lessThan">
      <formula>0</formula>
    </cfRule>
    <cfRule type="cellIs" dxfId="27" priority="40" stopIfTrue="1" operator="lessThan">
      <formula>-74404846</formula>
    </cfRule>
  </conditionalFormatting>
  <conditionalFormatting sqref="EW31">
    <cfRule type="cellIs" dxfId="26" priority="33" stopIfTrue="1" operator="lessThan">
      <formula>0</formula>
    </cfRule>
    <cfRule type="uniqueValues" priority="34" stopIfTrue="1"/>
    <cfRule type="cellIs" dxfId="25" priority="35" stopIfTrue="1" operator="lessThan">
      <formula>0</formula>
    </cfRule>
    <cfRule type="cellIs" dxfId="24" priority="36" stopIfTrue="1" operator="lessThan">
      <formula>-74404846</formula>
    </cfRule>
  </conditionalFormatting>
  <conditionalFormatting sqref="EW31">
    <cfRule type="cellIs" dxfId="23" priority="29" stopIfTrue="1" operator="lessThan">
      <formula>0</formula>
    </cfRule>
    <cfRule type="uniqueValues" priority="30" stopIfTrue="1"/>
    <cfRule type="cellIs" dxfId="22" priority="31" stopIfTrue="1" operator="lessThan">
      <formula>0</formula>
    </cfRule>
    <cfRule type="cellIs" dxfId="21" priority="32" stopIfTrue="1" operator="lessThan">
      <formula>-74404846</formula>
    </cfRule>
  </conditionalFormatting>
  <conditionalFormatting sqref="EM32">
    <cfRule type="cellIs" dxfId="20" priority="25" stopIfTrue="1" operator="lessThan">
      <formula>0</formula>
    </cfRule>
    <cfRule type="uniqueValues" priority="26" stopIfTrue="1"/>
    <cfRule type="cellIs" dxfId="19" priority="27" stopIfTrue="1" operator="lessThan">
      <formula>0</formula>
    </cfRule>
    <cfRule type="cellIs" dxfId="18" priority="28" stopIfTrue="1" operator="lessThan">
      <formula>-74404846</formula>
    </cfRule>
  </conditionalFormatting>
  <conditionalFormatting sqref="EO32">
    <cfRule type="cellIs" dxfId="17" priority="21" stopIfTrue="1" operator="lessThan">
      <formula>0</formula>
    </cfRule>
    <cfRule type="uniqueValues" priority="22" stopIfTrue="1"/>
    <cfRule type="cellIs" dxfId="16" priority="23" stopIfTrue="1" operator="lessThan">
      <formula>0</formula>
    </cfRule>
    <cfRule type="cellIs" dxfId="15" priority="24" stopIfTrue="1" operator="lessThan">
      <formula>-74404846</formula>
    </cfRule>
  </conditionalFormatting>
  <conditionalFormatting sqref="EU32:EV32">
    <cfRule type="cellIs" dxfId="14" priority="17" stopIfTrue="1" operator="lessThan">
      <formula>0</formula>
    </cfRule>
    <cfRule type="uniqueValues" priority="18" stopIfTrue="1"/>
    <cfRule type="cellIs" dxfId="13" priority="19" stopIfTrue="1" operator="lessThan">
      <formula>0</formula>
    </cfRule>
    <cfRule type="cellIs" dxfId="12" priority="20" stopIfTrue="1" operator="lessThan">
      <formula>-74404846</formula>
    </cfRule>
  </conditionalFormatting>
  <conditionalFormatting sqref="ER32">
    <cfRule type="cellIs" dxfId="11" priority="13" stopIfTrue="1" operator="lessThan">
      <formula>0</formula>
    </cfRule>
    <cfRule type="uniqueValues" priority="14" stopIfTrue="1"/>
    <cfRule type="cellIs" dxfId="10" priority="15" stopIfTrue="1" operator="lessThan">
      <formula>0</formula>
    </cfRule>
    <cfRule type="cellIs" dxfId="9" priority="16" stopIfTrue="1" operator="lessThan">
      <formula>-74404846</formula>
    </cfRule>
  </conditionalFormatting>
  <conditionalFormatting sqref="EQ32">
    <cfRule type="cellIs" dxfId="8" priority="9" stopIfTrue="1" operator="lessThan">
      <formula>0</formula>
    </cfRule>
    <cfRule type="uniqueValues" priority="10" stopIfTrue="1"/>
    <cfRule type="cellIs" dxfId="7" priority="11" stopIfTrue="1" operator="lessThan">
      <formula>0</formula>
    </cfRule>
    <cfRule type="cellIs" dxfId="6" priority="12" stopIfTrue="1" operator="lessThan">
      <formula>-74404846</formula>
    </cfRule>
  </conditionalFormatting>
  <conditionalFormatting sqref="ET32">
    <cfRule type="cellIs" dxfId="5" priority="5" stopIfTrue="1" operator="lessThan">
      <formula>0</formula>
    </cfRule>
    <cfRule type="uniqueValues" priority="6" stopIfTrue="1"/>
    <cfRule type="cellIs" dxfId="4" priority="7" stopIfTrue="1" operator="lessThan">
      <formula>0</formula>
    </cfRule>
    <cfRule type="cellIs" dxfId="3" priority="8" stopIfTrue="1" operator="lessThan">
      <formula>-74404846</formula>
    </cfRule>
  </conditionalFormatting>
  <conditionalFormatting sqref="ES32">
    <cfRule type="cellIs" dxfId="2" priority="1" stopIfTrue="1" operator="lessThan">
      <formula>0</formula>
    </cfRule>
    <cfRule type="uniqueValues" priority="2" stopIfTrue="1"/>
    <cfRule type="cellIs" dxfId="1" priority="3" stopIfTrue="1" operator="lessThan">
      <formula>0</formula>
    </cfRule>
    <cfRule type="cellIs" dxfId="0" priority="4" stopIfTrue="1" operator="lessThan">
      <formula>-74404846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AE2E-6217-4589-9AE8-B7F945F8AEBD}">
  <dimension ref="B1:AH33"/>
  <sheetViews>
    <sheetView workbookViewId="0">
      <selection activeCell="A9" sqref="A9"/>
    </sheetView>
  </sheetViews>
  <sheetFormatPr baseColWidth="10" defaultRowHeight="15" x14ac:dyDescent="0.25"/>
  <cols>
    <col min="2" max="2" width="32.28515625" bestFit="1" customWidth="1"/>
  </cols>
  <sheetData>
    <row r="1" spans="2:34" ht="15.75" thickBot="1" x14ac:dyDescent="0.3"/>
    <row r="2" spans="2:34" ht="15.75" thickBot="1" x14ac:dyDescent="0.3">
      <c r="B2" s="588" t="s">
        <v>0</v>
      </c>
      <c r="C2" s="590" t="s">
        <v>81</v>
      </c>
      <c r="D2" s="591"/>
      <c r="E2" s="591"/>
      <c r="F2" s="591"/>
      <c r="G2" s="592"/>
      <c r="H2" s="590" t="s">
        <v>82</v>
      </c>
      <c r="I2" s="591"/>
      <c r="J2" s="591"/>
      <c r="K2" s="591"/>
      <c r="L2" s="592"/>
      <c r="M2" s="593" t="s">
        <v>81</v>
      </c>
      <c r="N2" s="594"/>
      <c r="O2" s="593" t="s">
        <v>82</v>
      </c>
      <c r="P2" s="594"/>
      <c r="Q2" s="593" t="s">
        <v>116</v>
      </c>
      <c r="R2" s="594"/>
      <c r="S2" s="595" t="s">
        <v>82</v>
      </c>
      <c r="T2" s="597"/>
      <c r="U2" s="595" t="s">
        <v>116</v>
      </c>
      <c r="V2" s="596"/>
      <c r="W2" s="598" t="s">
        <v>82</v>
      </c>
      <c r="X2" s="599"/>
      <c r="Y2" s="598" t="s">
        <v>116</v>
      </c>
      <c r="Z2" s="600"/>
      <c r="AA2" s="595" t="s">
        <v>82</v>
      </c>
      <c r="AB2" s="597"/>
      <c r="AC2" s="595" t="s">
        <v>116</v>
      </c>
      <c r="AD2" s="596"/>
      <c r="AE2" s="595" t="s">
        <v>82</v>
      </c>
      <c r="AF2" s="597"/>
      <c r="AG2" s="595" t="s">
        <v>116</v>
      </c>
      <c r="AH2" s="596"/>
    </row>
    <row r="3" spans="2:34" ht="15.75" thickBot="1" x14ac:dyDescent="0.3">
      <c r="B3" s="589"/>
      <c r="C3" s="204">
        <v>2008</v>
      </c>
      <c r="D3" s="204">
        <v>2009</v>
      </c>
      <c r="E3" s="204">
        <v>2010</v>
      </c>
      <c r="F3" s="204">
        <v>2011</v>
      </c>
      <c r="G3" s="204">
        <v>2012</v>
      </c>
      <c r="H3" s="204">
        <v>2008</v>
      </c>
      <c r="I3" s="204">
        <v>2009</v>
      </c>
      <c r="J3" s="204">
        <v>2010</v>
      </c>
      <c r="K3" s="204">
        <v>2011</v>
      </c>
      <c r="L3" s="204">
        <v>2012</v>
      </c>
      <c r="M3" s="267">
        <v>2012</v>
      </c>
      <c r="N3" s="267">
        <v>2013</v>
      </c>
      <c r="O3" s="267">
        <v>2012</v>
      </c>
      <c r="P3" s="267">
        <v>2013</v>
      </c>
      <c r="Q3" s="267">
        <v>2012</v>
      </c>
      <c r="R3" s="267">
        <v>2013</v>
      </c>
      <c r="S3" s="326">
        <v>2013</v>
      </c>
      <c r="T3" s="326">
        <v>2014</v>
      </c>
      <c r="U3" s="326">
        <v>2013</v>
      </c>
      <c r="V3" s="326">
        <v>2014</v>
      </c>
      <c r="W3" s="435">
        <v>2014</v>
      </c>
      <c r="X3" s="435">
        <v>2015</v>
      </c>
      <c r="Y3" s="435">
        <v>2014</v>
      </c>
      <c r="Z3" s="435">
        <v>2015</v>
      </c>
      <c r="AA3" s="326">
        <v>2015</v>
      </c>
      <c r="AB3" s="326">
        <v>2016</v>
      </c>
      <c r="AC3" s="326">
        <v>2015</v>
      </c>
      <c r="AD3" s="326">
        <v>2016</v>
      </c>
      <c r="AE3" s="326">
        <v>2016</v>
      </c>
      <c r="AF3" s="326">
        <v>2017</v>
      </c>
      <c r="AG3" s="326">
        <v>2016</v>
      </c>
      <c r="AH3" s="326">
        <v>2017</v>
      </c>
    </row>
    <row r="4" spans="2:34" x14ac:dyDescent="0.25">
      <c r="B4" s="205" t="s">
        <v>5</v>
      </c>
      <c r="C4" s="206"/>
      <c r="D4" s="206"/>
      <c r="E4" s="206"/>
      <c r="F4" s="206"/>
      <c r="G4" s="206"/>
      <c r="H4" s="203"/>
      <c r="I4" s="203"/>
      <c r="J4" s="203"/>
      <c r="K4" s="203"/>
      <c r="L4" s="203"/>
      <c r="M4" s="206"/>
      <c r="N4" s="206"/>
      <c r="O4" s="203"/>
      <c r="P4" s="203"/>
      <c r="Q4" s="94"/>
      <c r="R4" s="93"/>
      <c r="S4" s="203"/>
      <c r="T4" s="203"/>
      <c r="U4" s="94"/>
      <c r="V4" s="93"/>
      <c r="W4" s="436"/>
      <c r="X4" s="436"/>
      <c r="Y4" s="437"/>
      <c r="Z4" s="388"/>
      <c r="AA4" s="93"/>
      <c r="AB4" s="93"/>
      <c r="AC4" s="93"/>
      <c r="AD4" s="93"/>
      <c r="AE4" s="93"/>
      <c r="AF4" s="93"/>
      <c r="AG4" s="93"/>
      <c r="AH4" s="93"/>
    </row>
    <row r="5" spans="2:34" x14ac:dyDescent="0.25">
      <c r="B5" s="207" t="s">
        <v>6</v>
      </c>
      <c r="C5" s="208"/>
      <c r="D5" s="208"/>
      <c r="E5" s="208"/>
      <c r="F5" s="208"/>
      <c r="G5" s="208"/>
      <c r="H5" s="203"/>
      <c r="I5" s="203"/>
      <c r="J5" s="203"/>
      <c r="K5" s="203"/>
      <c r="L5" s="203"/>
      <c r="M5" s="208"/>
      <c r="N5" s="208"/>
      <c r="O5" s="203"/>
      <c r="P5" s="203"/>
      <c r="Q5" s="94"/>
      <c r="R5" s="97"/>
      <c r="S5" s="203"/>
      <c r="T5" s="203"/>
      <c r="U5" s="94"/>
      <c r="V5" s="97"/>
      <c r="W5" s="436"/>
      <c r="X5" s="436"/>
      <c r="Y5" s="437"/>
      <c r="Z5" s="390"/>
      <c r="AA5" s="97"/>
      <c r="AB5" s="97"/>
      <c r="AC5" s="97"/>
      <c r="AD5" s="97"/>
      <c r="AE5" s="97"/>
      <c r="AF5" s="97"/>
      <c r="AG5" s="97"/>
      <c r="AH5" s="97"/>
    </row>
    <row r="6" spans="2:34" x14ac:dyDescent="0.25">
      <c r="B6" s="209" t="s">
        <v>7</v>
      </c>
      <c r="C6" s="114">
        <v>3185110</v>
      </c>
      <c r="D6" s="114">
        <v>2588234</v>
      </c>
      <c r="E6" s="114">
        <v>2812931</v>
      </c>
      <c r="F6" s="114">
        <v>1587837</v>
      </c>
      <c r="G6" s="114">
        <v>1216901</v>
      </c>
      <c r="H6" s="114">
        <v>3185110</v>
      </c>
      <c r="I6" s="114">
        <v>4853241.7560000001</v>
      </c>
      <c r="J6" s="114">
        <v>5040706.6789999995</v>
      </c>
      <c r="K6" s="114">
        <v>8620543</v>
      </c>
      <c r="L6" s="114">
        <v>8097838</v>
      </c>
      <c r="M6" s="202">
        <v>1216901</v>
      </c>
      <c r="N6" s="202">
        <v>782005</v>
      </c>
      <c r="O6" s="202">
        <v>8097838</v>
      </c>
      <c r="P6" s="202">
        <v>4181480</v>
      </c>
      <c r="Q6" s="202">
        <v>9285561</v>
      </c>
      <c r="R6" s="202">
        <v>10487630</v>
      </c>
      <c r="S6" s="202">
        <v>4181480</v>
      </c>
      <c r="T6" s="202">
        <v>10731506</v>
      </c>
      <c r="U6" s="202">
        <v>10487630</v>
      </c>
      <c r="V6" s="202">
        <v>18523215</v>
      </c>
      <c r="W6" s="438">
        <v>10731506</v>
      </c>
      <c r="X6" s="438">
        <v>3547812</v>
      </c>
      <c r="Y6" s="438">
        <v>18523215</v>
      </c>
      <c r="Z6" s="438">
        <v>13041844</v>
      </c>
      <c r="AA6" s="202">
        <v>3547812</v>
      </c>
      <c r="AB6" s="202">
        <v>2893856</v>
      </c>
      <c r="AC6" s="202">
        <v>12781183</v>
      </c>
      <c r="AD6" s="202">
        <v>12022084</v>
      </c>
      <c r="AE6" s="202">
        <v>2893856</v>
      </c>
      <c r="AF6" s="202"/>
      <c r="AG6" s="202">
        <v>12022084</v>
      </c>
      <c r="AH6" s="202">
        <v>17460700</v>
      </c>
    </row>
    <row r="7" spans="2:34" x14ac:dyDescent="0.25">
      <c r="B7" s="209" t="s">
        <v>8</v>
      </c>
      <c r="C7" s="114">
        <v>501717</v>
      </c>
      <c r="D7" s="114">
        <v>313813</v>
      </c>
      <c r="E7" s="114">
        <v>324940</v>
      </c>
      <c r="F7" s="114">
        <v>307399</v>
      </c>
      <c r="G7" s="114">
        <v>295407</v>
      </c>
      <c r="H7" s="114">
        <v>501717</v>
      </c>
      <c r="I7" s="114">
        <v>1309330.568</v>
      </c>
      <c r="J7" s="114">
        <v>3772162.673</v>
      </c>
      <c r="K7" s="114">
        <v>4842848</v>
      </c>
      <c r="L7" s="114">
        <v>4349480</v>
      </c>
      <c r="M7" s="202">
        <v>295407</v>
      </c>
      <c r="N7" s="202">
        <v>324173</v>
      </c>
      <c r="O7" s="202">
        <v>4349480</v>
      </c>
      <c r="P7" s="202">
        <v>3584893</v>
      </c>
      <c r="Q7" s="202">
        <v>487259</v>
      </c>
      <c r="R7" s="202">
        <v>440005</v>
      </c>
      <c r="S7" s="202">
        <v>3584893</v>
      </c>
      <c r="T7" s="202">
        <v>157924</v>
      </c>
      <c r="U7" s="202">
        <v>440005</v>
      </c>
      <c r="V7" s="202">
        <v>333462</v>
      </c>
      <c r="W7" s="438">
        <v>157924</v>
      </c>
      <c r="X7" s="438">
        <v>214647</v>
      </c>
      <c r="Y7" s="438">
        <v>333462</v>
      </c>
      <c r="Z7" s="438">
        <v>488571</v>
      </c>
      <c r="AA7" s="202">
        <v>214647</v>
      </c>
      <c r="AB7" s="202">
        <v>140828</v>
      </c>
      <c r="AC7" s="202">
        <v>519890</v>
      </c>
      <c r="AD7" s="202">
        <v>504731</v>
      </c>
      <c r="AE7" s="202">
        <v>140828</v>
      </c>
      <c r="AF7" s="202"/>
      <c r="AG7" s="202">
        <v>504731</v>
      </c>
      <c r="AH7" s="202">
        <v>488558</v>
      </c>
    </row>
    <row r="8" spans="2:34" ht="15.75" thickBot="1" x14ac:dyDescent="0.3">
      <c r="B8" s="209" t="s">
        <v>9</v>
      </c>
      <c r="C8" s="114">
        <v>1101920</v>
      </c>
      <c r="D8" s="114">
        <v>873742</v>
      </c>
      <c r="E8" s="114">
        <v>1020345</v>
      </c>
      <c r="F8" s="114">
        <v>2767088</v>
      </c>
      <c r="G8" s="114">
        <v>3365508</v>
      </c>
      <c r="H8" s="114">
        <v>1101920</v>
      </c>
      <c r="I8" s="114">
        <v>2418401.9780000001</v>
      </c>
      <c r="J8" s="114">
        <v>3809203.0780000002</v>
      </c>
      <c r="K8" s="114">
        <v>645770</v>
      </c>
      <c r="L8" s="114">
        <v>391792</v>
      </c>
      <c r="M8" s="269">
        <v>3365508</v>
      </c>
      <c r="N8" s="269">
        <v>3373334</v>
      </c>
      <c r="O8" s="269">
        <v>391792</v>
      </c>
      <c r="P8" s="269">
        <v>7381263</v>
      </c>
      <c r="Q8" s="269">
        <v>959020</v>
      </c>
      <c r="R8" s="269">
        <v>1504044</v>
      </c>
      <c r="S8" s="269">
        <v>7381263</v>
      </c>
      <c r="T8" s="269">
        <v>5543550</v>
      </c>
      <c r="U8" s="269">
        <v>1504044</v>
      </c>
      <c r="V8" s="124">
        <v>1504044</v>
      </c>
      <c r="W8" s="439">
        <v>5543550</v>
      </c>
      <c r="X8" s="439">
        <v>2962469</v>
      </c>
      <c r="Y8" s="439">
        <v>1504044</v>
      </c>
      <c r="Z8" s="408">
        <f>125089+1379044</f>
        <v>1504133</v>
      </c>
      <c r="AA8" s="269">
        <v>2962469</v>
      </c>
      <c r="AB8" s="124">
        <v>2962469</v>
      </c>
      <c r="AC8" s="124">
        <v>356121</v>
      </c>
      <c r="AD8" s="124">
        <v>451489</v>
      </c>
      <c r="AE8" s="269">
        <v>2962469</v>
      </c>
      <c r="AF8" s="124"/>
      <c r="AG8" s="124">
        <v>451489</v>
      </c>
      <c r="AH8" s="124">
        <v>1471424</v>
      </c>
    </row>
    <row r="9" spans="2:34" ht="15.75" thickBot="1" x14ac:dyDescent="0.3">
      <c r="B9" s="207" t="s">
        <v>10</v>
      </c>
      <c r="C9" s="118">
        <v>4788747</v>
      </c>
      <c r="D9" s="118">
        <v>3775789</v>
      </c>
      <c r="E9" s="118">
        <v>4158216</v>
      </c>
      <c r="F9" s="118">
        <v>4662324</v>
      </c>
      <c r="G9" s="118">
        <v>4877816</v>
      </c>
      <c r="H9" s="118">
        <v>4788747</v>
      </c>
      <c r="I9" s="118">
        <v>8580974.3020000011</v>
      </c>
      <c r="J9" s="118">
        <v>12622072.43</v>
      </c>
      <c r="K9" s="118">
        <v>14109161</v>
      </c>
      <c r="L9" s="118">
        <v>12839110</v>
      </c>
      <c r="M9" s="271">
        <v>4877816</v>
      </c>
      <c r="N9" s="271">
        <v>4479512</v>
      </c>
      <c r="O9" s="271">
        <v>12839110</v>
      </c>
      <c r="P9" s="271">
        <v>15147636</v>
      </c>
      <c r="Q9" s="271">
        <v>10731840</v>
      </c>
      <c r="R9" s="271">
        <v>12431679</v>
      </c>
      <c r="S9" s="271">
        <v>15147636</v>
      </c>
      <c r="T9" s="271">
        <v>16432980</v>
      </c>
      <c r="U9" s="271">
        <v>12431679</v>
      </c>
      <c r="V9" s="271">
        <v>20360721</v>
      </c>
      <c r="W9" s="440">
        <v>16432980</v>
      </c>
      <c r="X9" s="440">
        <f>SUM(X6:X8)</f>
        <v>6724928</v>
      </c>
      <c r="Y9" s="440">
        <v>20360721</v>
      </c>
      <c r="Z9" s="440">
        <f>SUM(Z6:Z8)</f>
        <v>15034548</v>
      </c>
      <c r="AA9" s="271">
        <v>6724928</v>
      </c>
      <c r="AB9" s="271">
        <v>5997153</v>
      </c>
      <c r="AC9" s="271">
        <v>13657194</v>
      </c>
      <c r="AD9" s="271">
        <v>12978304</v>
      </c>
      <c r="AE9" s="271">
        <v>5997153</v>
      </c>
      <c r="AF9" s="271">
        <v>0</v>
      </c>
      <c r="AG9" s="271">
        <v>12978304</v>
      </c>
      <c r="AH9" s="271">
        <v>19420682</v>
      </c>
    </row>
    <row r="10" spans="2:34" x14ac:dyDescent="0.25">
      <c r="B10" s="207" t="s">
        <v>11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270"/>
      <c r="N10" s="270"/>
      <c r="O10" s="270"/>
      <c r="P10" s="270"/>
      <c r="Q10" s="270"/>
      <c r="R10" s="270">
        <v>0</v>
      </c>
      <c r="S10" s="270"/>
      <c r="T10" s="270"/>
      <c r="U10" s="270">
        <v>0</v>
      </c>
      <c r="V10" s="270">
        <v>0</v>
      </c>
      <c r="W10" s="441"/>
      <c r="X10" s="441"/>
      <c r="Y10" s="441">
        <v>0</v>
      </c>
      <c r="Z10" s="441">
        <v>0</v>
      </c>
      <c r="AA10" s="270"/>
      <c r="AB10" s="270">
        <v>0</v>
      </c>
      <c r="AC10" s="270">
        <v>0</v>
      </c>
      <c r="AD10" s="270">
        <v>0</v>
      </c>
      <c r="AE10" s="270">
        <v>0</v>
      </c>
      <c r="AF10" s="270">
        <v>0</v>
      </c>
      <c r="AG10" s="270">
        <v>0</v>
      </c>
      <c r="AH10" s="270">
        <v>0</v>
      </c>
    </row>
    <row r="11" spans="2:34" x14ac:dyDescent="0.25">
      <c r="B11" s="209" t="s">
        <v>12</v>
      </c>
      <c r="C11" s="114">
        <v>2262112</v>
      </c>
      <c r="D11" s="114">
        <v>1217520</v>
      </c>
      <c r="E11" s="114">
        <v>1592409</v>
      </c>
      <c r="F11" s="114">
        <v>862837</v>
      </c>
      <c r="G11" s="114">
        <v>1030488</v>
      </c>
      <c r="H11" s="114">
        <v>2262112</v>
      </c>
      <c r="I11" s="114">
        <v>3837889.6430000002</v>
      </c>
      <c r="J11" s="114">
        <v>4611672.3859999999</v>
      </c>
      <c r="K11" s="114">
        <v>7330733</v>
      </c>
      <c r="L11" s="114">
        <v>6793933</v>
      </c>
      <c r="M11" s="202">
        <v>1030488</v>
      </c>
      <c r="N11" s="202">
        <v>728680</v>
      </c>
      <c r="O11" s="202">
        <v>6793933</v>
      </c>
      <c r="P11" s="202">
        <v>3905320</v>
      </c>
      <c r="Q11" s="202">
        <v>3296368</v>
      </c>
      <c r="R11" s="202">
        <v>3831409</v>
      </c>
      <c r="S11" s="202">
        <v>3905320</v>
      </c>
      <c r="T11" s="202">
        <v>5907145</v>
      </c>
      <c r="U11" s="202">
        <v>3831409</v>
      </c>
      <c r="V11" s="202">
        <v>12884170</v>
      </c>
      <c r="W11" s="438">
        <v>5907145</v>
      </c>
      <c r="X11" s="438">
        <v>1761992</v>
      </c>
      <c r="Y11" s="438">
        <v>12884170</v>
      </c>
      <c r="Z11" s="438">
        <v>5759162</v>
      </c>
      <c r="AA11" s="202">
        <v>1761992</v>
      </c>
      <c r="AB11" s="202">
        <v>1382524</v>
      </c>
      <c r="AC11" s="202">
        <v>5550612</v>
      </c>
      <c r="AD11" s="202">
        <v>4380059</v>
      </c>
      <c r="AE11" s="202">
        <v>1382524</v>
      </c>
      <c r="AF11" s="202"/>
      <c r="AG11" s="202">
        <v>4380059</v>
      </c>
      <c r="AH11" s="202">
        <v>9929570</v>
      </c>
    </row>
    <row r="12" spans="2:34" x14ac:dyDescent="0.25">
      <c r="B12" s="210" t="s">
        <v>13</v>
      </c>
      <c r="C12" s="114">
        <v>948503</v>
      </c>
      <c r="D12" s="114">
        <v>948503</v>
      </c>
      <c r="E12" s="114">
        <v>948503</v>
      </c>
      <c r="F12" s="114">
        <v>1213974</v>
      </c>
      <c r="G12" s="114">
        <v>1271051</v>
      </c>
      <c r="H12" s="114">
        <v>948503</v>
      </c>
      <c r="I12" s="114">
        <v>0</v>
      </c>
      <c r="J12" s="114">
        <v>927555.50600000005</v>
      </c>
      <c r="K12" s="114">
        <v>494204</v>
      </c>
      <c r="L12" s="114">
        <v>234381</v>
      </c>
      <c r="M12" s="202">
        <v>1271051</v>
      </c>
      <c r="N12" s="202">
        <v>1271050</v>
      </c>
      <c r="O12" s="202">
        <v>234381</v>
      </c>
      <c r="P12" s="202">
        <v>5756114</v>
      </c>
      <c r="Q12" s="202">
        <v>2392087</v>
      </c>
      <c r="R12" s="202">
        <v>2356108</v>
      </c>
      <c r="S12" s="202">
        <v>5756114</v>
      </c>
      <c r="T12" s="202">
        <v>4652219</v>
      </c>
      <c r="U12" s="202">
        <v>2356108</v>
      </c>
      <c r="V12" s="202">
        <v>905642</v>
      </c>
      <c r="W12" s="438">
        <v>4652219</v>
      </c>
      <c r="X12" s="438">
        <v>826736</v>
      </c>
      <c r="Y12" s="438">
        <v>905642</v>
      </c>
      <c r="Z12" s="438">
        <v>2000000</v>
      </c>
      <c r="AA12" s="202">
        <v>826736</v>
      </c>
      <c r="AB12" s="202">
        <v>337579</v>
      </c>
      <c r="AC12" s="202">
        <v>2040798</v>
      </c>
      <c r="AD12" s="202">
        <v>1913931</v>
      </c>
      <c r="AE12" s="202">
        <v>337579</v>
      </c>
      <c r="AF12" s="202"/>
      <c r="AG12" s="202">
        <v>1913931</v>
      </c>
      <c r="AH12" s="202">
        <v>1934715</v>
      </c>
    </row>
    <row r="13" spans="2:34" ht="15.75" thickBot="1" x14ac:dyDescent="0.3">
      <c r="B13" s="209" t="s">
        <v>14</v>
      </c>
      <c r="C13" s="114">
        <v>0</v>
      </c>
      <c r="D13" s="114">
        <v>0</v>
      </c>
      <c r="E13" s="114">
        <v>0</v>
      </c>
      <c r="F13" s="114"/>
      <c r="G13" s="114"/>
      <c r="H13" s="114">
        <v>0</v>
      </c>
      <c r="I13" s="114">
        <v>0</v>
      </c>
      <c r="J13" s="114">
        <v>0</v>
      </c>
      <c r="K13" s="114">
        <v>0</v>
      </c>
      <c r="L13" s="114">
        <v>0</v>
      </c>
      <c r="M13" s="269"/>
      <c r="N13" s="269">
        <v>0</v>
      </c>
      <c r="O13" s="269">
        <v>0</v>
      </c>
      <c r="P13" s="269">
        <v>0</v>
      </c>
      <c r="Q13" s="269">
        <v>0</v>
      </c>
      <c r="R13" s="269">
        <v>0</v>
      </c>
      <c r="S13" s="269">
        <v>0</v>
      </c>
      <c r="T13" s="269">
        <v>0</v>
      </c>
      <c r="U13" s="269">
        <v>0</v>
      </c>
      <c r="V13" s="269">
        <v>0</v>
      </c>
      <c r="W13" s="439">
        <v>0</v>
      </c>
      <c r="X13" s="439">
        <v>0</v>
      </c>
      <c r="Y13" s="439">
        <v>0</v>
      </c>
      <c r="Z13" s="439">
        <v>0</v>
      </c>
      <c r="AA13" s="269">
        <v>0</v>
      </c>
      <c r="AB13" s="269">
        <v>0</v>
      </c>
      <c r="AC13" s="269">
        <v>0</v>
      </c>
      <c r="AD13" s="269">
        <v>0</v>
      </c>
      <c r="AE13" s="269">
        <v>0</v>
      </c>
      <c r="AF13" s="269">
        <v>0</v>
      </c>
      <c r="AG13" s="269">
        <v>0</v>
      </c>
      <c r="AH13" s="269">
        <v>0</v>
      </c>
    </row>
    <row r="14" spans="2:34" ht="15.75" thickBot="1" x14ac:dyDescent="0.3">
      <c r="B14" s="207" t="s">
        <v>15</v>
      </c>
      <c r="C14" s="118">
        <v>3210615</v>
      </c>
      <c r="D14" s="118">
        <v>2166023</v>
      </c>
      <c r="E14" s="118">
        <v>2540912</v>
      </c>
      <c r="F14" s="118">
        <v>2076811</v>
      </c>
      <c r="G14" s="118">
        <v>2301539</v>
      </c>
      <c r="H14" s="118">
        <v>3210615</v>
      </c>
      <c r="I14" s="118">
        <v>3837889.6430000002</v>
      </c>
      <c r="J14" s="118">
        <v>5539227.892</v>
      </c>
      <c r="K14" s="118">
        <v>7824937</v>
      </c>
      <c r="L14" s="118">
        <v>7028314</v>
      </c>
      <c r="M14" s="271">
        <v>2301539</v>
      </c>
      <c r="N14" s="271">
        <v>1999730</v>
      </c>
      <c r="O14" s="271">
        <v>7028314</v>
      </c>
      <c r="P14" s="271">
        <v>9661434</v>
      </c>
      <c r="Q14" s="271">
        <v>5688455</v>
      </c>
      <c r="R14" s="271">
        <v>6187517</v>
      </c>
      <c r="S14" s="271">
        <v>9661434</v>
      </c>
      <c r="T14" s="271">
        <v>10559364</v>
      </c>
      <c r="U14" s="271">
        <v>6187517</v>
      </c>
      <c r="V14" s="271">
        <v>13789812</v>
      </c>
      <c r="W14" s="440">
        <v>10559364</v>
      </c>
      <c r="X14" s="440">
        <f>SUM(X11:X13)</f>
        <v>2588728</v>
      </c>
      <c r="Y14" s="440">
        <v>13789812</v>
      </c>
      <c r="Z14" s="440">
        <f>SUM(Z11:Z13)</f>
        <v>7759162</v>
      </c>
      <c r="AA14" s="271">
        <v>2588728</v>
      </c>
      <c r="AB14" s="271">
        <v>1720103</v>
      </c>
      <c r="AC14" s="271">
        <v>7591410</v>
      </c>
      <c r="AD14" s="271">
        <v>6293990</v>
      </c>
      <c r="AE14" s="271">
        <v>1720103</v>
      </c>
      <c r="AF14" s="271">
        <v>0</v>
      </c>
      <c r="AG14" s="271">
        <v>6293990</v>
      </c>
      <c r="AH14" s="271">
        <v>11864285</v>
      </c>
    </row>
    <row r="15" spans="2:34" x14ac:dyDescent="0.25">
      <c r="B15" s="207" t="s">
        <v>16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441"/>
      <c r="X15" s="441"/>
      <c r="Y15" s="441"/>
      <c r="Z15" s="441"/>
      <c r="AA15" s="270"/>
      <c r="AB15" s="270"/>
      <c r="AC15" s="270"/>
      <c r="AD15" s="270"/>
      <c r="AE15" s="270"/>
      <c r="AF15" s="270"/>
      <c r="AG15" s="270"/>
      <c r="AH15" s="270"/>
    </row>
    <row r="16" spans="2:34" ht="15.75" thickBot="1" x14ac:dyDescent="0.3">
      <c r="B16" s="211" t="s">
        <v>17</v>
      </c>
      <c r="C16" s="124">
        <v>250000</v>
      </c>
      <c r="D16" s="124">
        <v>1250000</v>
      </c>
      <c r="E16" s="124">
        <v>1250000</v>
      </c>
      <c r="F16" s="124">
        <v>1250000</v>
      </c>
      <c r="G16" s="124">
        <v>1250000</v>
      </c>
      <c r="H16" s="124">
        <v>250000</v>
      </c>
      <c r="I16" s="124">
        <v>1200000</v>
      </c>
      <c r="J16" s="124">
        <v>1200000</v>
      </c>
      <c r="K16" s="124">
        <v>1200000</v>
      </c>
      <c r="L16" s="124">
        <v>1200000</v>
      </c>
      <c r="M16" s="202">
        <v>1250000</v>
      </c>
      <c r="N16" s="202">
        <v>1250000</v>
      </c>
      <c r="O16" s="202">
        <v>1200000</v>
      </c>
      <c r="P16" s="202">
        <v>1200000</v>
      </c>
      <c r="Q16" s="202">
        <v>1000000</v>
      </c>
      <c r="R16" s="202">
        <v>1000000</v>
      </c>
      <c r="S16" s="202">
        <v>1200000</v>
      </c>
      <c r="T16" s="202">
        <v>1200000</v>
      </c>
      <c r="U16" s="202">
        <v>1000000</v>
      </c>
      <c r="V16" s="202">
        <v>1000000</v>
      </c>
      <c r="W16" s="438">
        <v>1200000</v>
      </c>
      <c r="X16" s="438">
        <v>1200000</v>
      </c>
      <c r="Y16" s="438">
        <v>1000000</v>
      </c>
      <c r="Z16" s="438">
        <v>2300000</v>
      </c>
      <c r="AA16" s="202">
        <v>1200000</v>
      </c>
      <c r="AB16" s="202">
        <v>1200000</v>
      </c>
      <c r="AC16" s="202">
        <v>2300000</v>
      </c>
      <c r="AD16" s="202">
        <v>2300000</v>
      </c>
      <c r="AE16" s="202">
        <v>1200000</v>
      </c>
      <c r="AF16" s="202"/>
      <c r="AG16" s="202">
        <v>2300000</v>
      </c>
      <c r="AH16" s="202">
        <v>2300000</v>
      </c>
    </row>
    <row r="17" spans="2:34" ht="15.75" thickBot="1" x14ac:dyDescent="0.3">
      <c r="B17" s="212" t="s">
        <v>18</v>
      </c>
      <c r="C17" s="130">
        <v>65854</v>
      </c>
      <c r="D17" s="130">
        <v>31634</v>
      </c>
      <c r="E17" s="130">
        <v>7538</v>
      </c>
      <c r="F17" s="130">
        <v>2428</v>
      </c>
      <c r="G17" s="130">
        <v>21265</v>
      </c>
      <c r="H17" s="130">
        <v>65854</v>
      </c>
      <c r="I17" s="130">
        <v>1103984.2479999999</v>
      </c>
      <c r="J17" s="130">
        <v>2339759.8790000002</v>
      </c>
      <c r="K17" s="130">
        <v>1091085</v>
      </c>
      <c r="L17" s="130">
        <v>1014249</v>
      </c>
      <c r="M17" s="255">
        <v>21265</v>
      </c>
      <c r="N17" s="255">
        <v>-96495</v>
      </c>
      <c r="O17" s="255">
        <v>1014249</v>
      </c>
      <c r="P17" s="255">
        <v>783929</v>
      </c>
      <c r="Q17" s="255">
        <v>960290</v>
      </c>
      <c r="R17" s="255">
        <v>618292</v>
      </c>
      <c r="S17" s="311">
        <v>783929</v>
      </c>
      <c r="T17" s="311">
        <v>1994264</v>
      </c>
      <c r="U17" s="311">
        <v>618292</v>
      </c>
      <c r="V17" s="311">
        <v>326747</v>
      </c>
      <c r="W17" s="420">
        <v>1994264</v>
      </c>
      <c r="X17" s="420">
        <v>113390</v>
      </c>
      <c r="Y17" s="420">
        <v>326747</v>
      </c>
      <c r="Z17" s="420">
        <v>250076</v>
      </c>
      <c r="AA17" s="311">
        <v>113390</v>
      </c>
      <c r="AB17" s="311">
        <v>140849</v>
      </c>
      <c r="AC17" s="311">
        <v>993482</v>
      </c>
      <c r="AD17" s="311">
        <v>618529</v>
      </c>
      <c r="AE17" s="311">
        <v>140849</v>
      </c>
      <c r="AF17" s="311"/>
      <c r="AG17" s="311">
        <v>618529</v>
      </c>
      <c r="AH17" s="311">
        <v>872083</v>
      </c>
    </row>
    <row r="18" spans="2:34" x14ac:dyDescent="0.25">
      <c r="B18" s="213" t="s">
        <v>19</v>
      </c>
      <c r="C18" s="127">
        <v>210606</v>
      </c>
      <c r="D18" s="127">
        <v>50264</v>
      </c>
      <c r="E18" s="127">
        <v>78735</v>
      </c>
      <c r="F18" s="127">
        <v>85518</v>
      </c>
      <c r="G18" s="127">
        <v>57445</v>
      </c>
      <c r="H18" s="127">
        <v>210606</v>
      </c>
      <c r="I18" s="127">
        <v>761619.63800000004</v>
      </c>
      <c r="J18" s="127">
        <v>1755205.4609999999</v>
      </c>
      <c r="K18" s="127">
        <v>2609412</v>
      </c>
      <c r="L18" s="127">
        <v>2654036</v>
      </c>
      <c r="M18" s="202">
        <v>57445</v>
      </c>
      <c r="N18" s="202">
        <v>76584</v>
      </c>
      <c r="O18" s="202">
        <v>2654036</v>
      </c>
      <c r="P18" s="202">
        <v>2568797</v>
      </c>
      <c r="Q18" s="202">
        <v>1821052</v>
      </c>
      <c r="R18" s="202">
        <v>2685313</v>
      </c>
      <c r="S18" s="202">
        <v>2568797</v>
      </c>
      <c r="T18" s="202">
        <v>1798177</v>
      </c>
      <c r="U18" s="202">
        <v>2685313</v>
      </c>
      <c r="V18" s="202">
        <v>3303605</v>
      </c>
      <c r="W18" s="438">
        <v>1798177</v>
      </c>
      <c r="X18" s="438">
        <v>1941636</v>
      </c>
      <c r="Y18" s="438">
        <v>3303605</v>
      </c>
      <c r="Z18" s="438">
        <v>2784753</v>
      </c>
      <c r="AA18" s="202">
        <v>1941636</v>
      </c>
      <c r="AB18" s="202">
        <v>2055027</v>
      </c>
      <c r="AC18" s="202">
        <v>2784754</v>
      </c>
      <c r="AD18" s="202">
        <v>3753230</v>
      </c>
      <c r="AE18" s="202">
        <v>2055027</v>
      </c>
      <c r="AF18" s="202"/>
      <c r="AG18" s="202">
        <v>3753230</v>
      </c>
      <c r="AH18" s="202">
        <v>4309906</v>
      </c>
    </row>
    <row r="19" spans="2:34" ht="15.75" thickBot="1" x14ac:dyDescent="0.3">
      <c r="B19" s="209" t="s">
        <v>20</v>
      </c>
      <c r="C19" s="114">
        <v>1051672</v>
      </c>
      <c r="D19" s="114">
        <v>277868</v>
      </c>
      <c r="E19" s="114">
        <v>281031</v>
      </c>
      <c r="F19" s="114">
        <v>1247567</v>
      </c>
      <c r="G19" s="114">
        <v>1247567</v>
      </c>
      <c r="H19" s="114">
        <v>1051672</v>
      </c>
      <c r="I19" s="114">
        <v>1677480.773</v>
      </c>
      <c r="J19" s="114">
        <v>1787879.1979999999</v>
      </c>
      <c r="K19" s="114">
        <v>1383727</v>
      </c>
      <c r="L19" s="114">
        <v>942513</v>
      </c>
      <c r="M19" s="269">
        <v>1247567</v>
      </c>
      <c r="N19" s="202">
        <v>1249693</v>
      </c>
      <c r="O19" s="269">
        <v>942513</v>
      </c>
      <c r="P19" s="269">
        <v>933476</v>
      </c>
      <c r="Q19" s="269">
        <v>1262043</v>
      </c>
      <c r="R19" s="269">
        <v>1940557</v>
      </c>
      <c r="S19" s="269">
        <v>933476</v>
      </c>
      <c r="T19" s="269">
        <v>881175</v>
      </c>
      <c r="U19" s="269">
        <v>1940557</v>
      </c>
      <c r="V19" s="269">
        <v>1940557</v>
      </c>
      <c r="W19" s="439">
        <v>881175</v>
      </c>
      <c r="X19" s="439">
        <f>600000+281174</f>
        <v>881174</v>
      </c>
      <c r="Y19" s="439">
        <v>1940557</v>
      </c>
      <c r="Z19" s="439">
        <f>1379044+561513</f>
        <v>1940557</v>
      </c>
      <c r="AA19" s="269">
        <v>881174</v>
      </c>
      <c r="AB19" s="269">
        <v>881174</v>
      </c>
      <c r="AC19" s="269">
        <v>-12452</v>
      </c>
      <c r="AD19" s="269">
        <v>12555</v>
      </c>
      <c r="AE19" s="269">
        <v>881174</v>
      </c>
      <c r="AF19" s="269"/>
      <c r="AG19" s="269">
        <v>12555</v>
      </c>
      <c r="AH19" s="269">
        <v>74408</v>
      </c>
    </row>
    <row r="20" spans="2:34" ht="15.75" thickBot="1" x14ac:dyDescent="0.3">
      <c r="B20" s="207" t="s">
        <v>21</v>
      </c>
      <c r="C20" s="118">
        <v>1578132</v>
      </c>
      <c r="D20" s="118">
        <v>1609766</v>
      </c>
      <c r="E20" s="118">
        <v>1617304</v>
      </c>
      <c r="F20" s="118">
        <v>2585513</v>
      </c>
      <c r="G20" s="118">
        <v>2576277</v>
      </c>
      <c r="H20" s="118">
        <v>1578132</v>
      </c>
      <c r="I20" s="118">
        <v>4743084.659</v>
      </c>
      <c r="J20" s="118">
        <v>7082844.5379999997</v>
      </c>
      <c r="K20" s="118">
        <v>6284224</v>
      </c>
      <c r="L20" s="118">
        <v>5810798</v>
      </c>
      <c r="M20" s="271">
        <v>2576277</v>
      </c>
      <c r="N20" s="271">
        <v>2479782</v>
      </c>
      <c r="O20" s="271">
        <v>5810798</v>
      </c>
      <c r="P20" s="271">
        <v>5486202</v>
      </c>
      <c r="Q20" s="271">
        <v>5043385</v>
      </c>
      <c r="R20" s="271">
        <v>6244162</v>
      </c>
      <c r="S20" s="329">
        <v>5486202</v>
      </c>
      <c r="T20" s="271">
        <v>5873616</v>
      </c>
      <c r="U20" s="271">
        <v>6244162</v>
      </c>
      <c r="V20" s="271">
        <v>6570909</v>
      </c>
      <c r="W20" s="442">
        <v>5873616</v>
      </c>
      <c r="X20" s="440">
        <f>SUM(X16:X19)</f>
        <v>4136200</v>
      </c>
      <c r="Y20" s="440">
        <v>6570909</v>
      </c>
      <c r="Z20" s="440">
        <f>SUM(Z16:Z19)</f>
        <v>7275386</v>
      </c>
      <c r="AA20" s="271">
        <v>4136200</v>
      </c>
      <c r="AB20" s="271">
        <v>4277050</v>
      </c>
      <c r="AC20" s="271">
        <v>6065784</v>
      </c>
      <c r="AD20" s="271">
        <v>6684314</v>
      </c>
      <c r="AE20" s="271">
        <v>4277050</v>
      </c>
      <c r="AF20" s="271">
        <v>0</v>
      </c>
      <c r="AG20" s="271">
        <v>6684314</v>
      </c>
      <c r="AH20" s="271">
        <v>7556397</v>
      </c>
    </row>
    <row r="21" spans="2:34" ht="15.75" thickBot="1" x14ac:dyDescent="0.3">
      <c r="B21" s="207" t="s">
        <v>22</v>
      </c>
      <c r="C21" s="118">
        <v>4788747</v>
      </c>
      <c r="D21" s="118">
        <v>3775789</v>
      </c>
      <c r="E21" s="118">
        <v>4158216</v>
      </c>
      <c r="F21" s="118">
        <v>4662324</v>
      </c>
      <c r="G21" s="118">
        <v>4877816</v>
      </c>
      <c r="H21" s="118">
        <v>4788747</v>
      </c>
      <c r="I21" s="118">
        <v>8580974.3020000011</v>
      </c>
      <c r="J21" s="118">
        <v>12622072.43</v>
      </c>
      <c r="K21" s="118">
        <v>14109161</v>
      </c>
      <c r="L21" s="118">
        <v>12839112</v>
      </c>
      <c r="M21" s="271">
        <v>4877816</v>
      </c>
      <c r="N21" s="271">
        <v>4479512</v>
      </c>
      <c r="O21" s="271">
        <v>12839112</v>
      </c>
      <c r="P21" s="271">
        <v>15147636</v>
      </c>
      <c r="Q21" s="271">
        <v>10731840</v>
      </c>
      <c r="R21" s="271">
        <v>12431679</v>
      </c>
      <c r="S21" s="271">
        <v>15147636</v>
      </c>
      <c r="T21" s="271">
        <v>16432980</v>
      </c>
      <c r="U21" s="271">
        <v>12431679</v>
      </c>
      <c r="V21" s="271">
        <v>20360721</v>
      </c>
      <c r="W21" s="440">
        <v>16432980</v>
      </c>
      <c r="X21" s="440">
        <f>+X20+X14</f>
        <v>6724928</v>
      </c>
      <c r="Y21" s="440">
        <v>20360721</v>
      </c>
      <c r="Z21" s="440">
        <f>+Z20+Z14</f>
        <v>15034548</v>
      </c>
      <c r="AA21" s="271">
        <v>6724928</v>
      </c>
      <c r="AB21" s="271">
        <v>5997153</v>
      </c>
      <c r="AC21" s="271">
        <v>13657194</v>
      </c>
      <c r="AD21" s="271">
        <v>12978304</v>
      </c>
      <c r="AE21" s="271">
        <v>5997153</v>
      </c>
      <c r="AF21" s="271">
        <v>0</v>
      </c>
      <c r="AG21" s="271">
        <v>12978304</v>
      </c>
      <c r="AH21" s="271">
        <v>19420682</v>
      </c>
    </row>
    <row r="22" spans="2:34" x14ac:dyDescent="0.25">
      <c r="B22" s="207" t="s">
        <v>23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441"/>
      <c r="X22" s="441"/>
      <c r="Y22" s="441"/>
      <c r="Z22" s="441"/>
      <c r="AA22" s="270"/>
      <c r="AB22" s="270"/>
      <c r="AC22" s="270"/>
      <c r="AD22" s="270"/>
      <c r="AE22" s="270"/>
      <c r="AF22" s="270"/>
      <c r="AG22" s="270"/>
      <c r="AH22" s="270"/>
    </row>
    <row r="23" spans="2:34" x14ac:dyDescent="0.25">
      <c r="B23" s="207" t="s">
        <v>24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438"/>
      <c r="X23" s="438"/>
      <c r="Y23" s="438"/>
      <c r="Z23" s="438"/>
      <c r="AA23" s="202"/>
      <c r="AB23" s="202"/>
      <c r="AC23" s="202"/>
      <c r="AD23" s="202"/>
      <c r="AE23" s="202"/>
      <c r="AF23" s="202"/>
      <c r="AG23" s="202"/>
      <c r="AH23" s="202"/>
    </row>
    <row r="24" spans="2:34" x14ac:dyDescent="0.25">
      <c r="B24" s="210" t="s">
        <v>25</v>
      </c>
      <c r="C24" s="114">
        <v>637819</v>
      </c>
      <c r="D24" s="114">
        <v>4485234</v>
      </c>
      <c r="E24" s="114">
        <v>2204639</v>
      </c>
      <c r="F24" s="114">
        <v>2607541</v>
      </c>
      <c r="G24" s="114">
        <v>2702993</v>
      </c>
      <c r="H24" s="114">
        <v>637819</v>
      </c>
      <c r="I24" s="114">
        <v>18705233.806000002</v>
      </c>
      <c r="J24" s="114">
        <v>22739472.405999999</v>
      </c>
      <c r="K24" s="114">
        <v>37835992</v>
      </c>
      <c r="L24" s="114">
        <v>34607112</v>
      </c>
      <c r="M24" s="202">
        <v>2702993</v>
      </c>
      <c r="N24" s="202">
        <v>990262</v>
      </c>
      <c r="O24" s="202">
        <v>34607112</v>
      </c>
      <c r="P24" s="202">
        <v>32185730</v>
      </c>
      <c r="Q24" s="202">
        <v>30270544</v>
      </c>
      <c r="R24" s="202">
        <v>29333756</v>
      </c>
      <c r="S24" s="202">
        <v>32185730</v>
      </c>
      <c r="T24" s="202">
        <v>32954178</v>
      </c>
      <c r="U24" s="202">
        <v>29333756</v>
      </c>
      <c r="V24" s="202">
        <v>22330203</v>
      </c>
      <c r="W24" s="438">
        <v>32954178</v>
      </c>
      <c r="X24" s="438">
        <v>7182714</v>
      </c>
      <c r="Y24" s="438">
        <v>22330203</v>
      </c>
      <c r="Z24" s="438">
        <v>16666921</v>
      </c>
      <c r="AA24" s="202">
        <v>7182714</v>
      </c>
      <c r="AB24" s="202">
        <v>3671693</v>
      </c>
      <c r="AC24" s="202">
        <v>16666921</v>
      </c>
      <c r="AD24" s="202">
        <v>29416460</v>
      </c>
      <c r="AE24" s="202">
        <v>3671693</v>
      </c>
      <c r="AF24" s="202"/>
      <c r="AG24" s="202">
        <v>29416460</v>
      </c>
      <c r="AH24" s="202">
        <v>38167154</v>
      </c>
    </row>
    <row r="25" spans="2:34" ht="15.75" thickBot="1" x14ac:dyDescent="0.3">
      <c r="B25" s="210" t="s">
        <v>26</v>
      </c>
      <c r="C25" s="114">
        <v>440676</v>
      </c>
      <c r="D25" s="114">
        <v>52039</v>
      </c>
      <c r="E25" s="114">
        <v>256162</v>
      </c>
      <c r="F25" s="114">
        <v>957881</v>
      </c>
      <c r="G25" s="114">
        <v>45794</v>
      </c>
      <c r="H25" s="114">
        <v>440676</v>
      </c>
      <c r="I25" s="114">
        <v>671424.14800000004</v>
      </c>
      <c r="J25" s="114">
        <v>749652.24100000004</v>
      </c>
      <c r="K25" s="114">
        <v>650239</v>
      </c>
      <c r="L25" s="114">
        <v>1216030</v>
      </c>
      <c r="M25" s="202">
        <v>45794</v>
      </c>
      <c r="N25" s="202">
        <v>1130</v>
      </c>
      <c r="O25" s="202">
        <v>1216030</v>
      </c>
      <c r="P25" s="202">
        <v>157947</v>
      </c>
      <c r="Q25" s="202">
        <v>392474</v>
      </c>
      <c r="R25" s="202">
        <v>944538</v>
      </c>
      <c r="S25" s="269">
        <v>157947</v>
      </c>
      <c r="T25" s="269">
        <v>2937055</v>
      </c>
      <c r="U25" s="269">
        <v>944538</v>
      </c>
      <c r="V25" s="269">
        <v>770419</v>
      </c>
      <c r="W25" s="439">
        <v>2937055</v>
      </c>
      <c r="X25" s="439">
        <v>266307</v>
      </c>
      <c r="Y25" s="439">
        <v>770419</v>
      </c>
      <c r="Z25" s="439">
        <v>1139925</v>
      </c>
      <c r="AA25" s="269">
        <v>266307</v>
      </c>
      <c r="AB25" s="269">
        <v>268982</v>
      </c>
      <c r="AC25" s="269">
        <v>157122</v>
      </c>
      <c r="AD25" s="269">
        <v>39728</v>
      </c>
      <c r="AE25" s="269">
        <v>268982</v>
      </c>
      <c r="AF25" s="269"/>
      <c r="AG25" s="269">
        <v>39728</v>
      </c>
      <c r="AH25" s="269">
        <v>244374</v>
      </c>
    </row>
    <row r="26" spans="2:34" ht="15.75" thickBot="1" x14ac:dyDescent="0.3">
      <c r="B26" s="207" t="s">
        <v>27</v>
      </c>
      <c r="C26" s="118">
        <v>1078495</v>
      </c>
      <c r="D26" s="118">
        <v>4537273</v>
      </c>
      <c r="E26" s="118">
        <v>2460801</v>
      </c>
      <c r="F26" s="118">
        <v>3565422</v>
      </c>
      <c r="G26" s="118">
        <v>2748787</v>
      </c>
      <c r="H26" s="118">
        <v>1078495</v>
      </c>
      <c r="I26" s="118">
        <v>19376657.954000004</v>
      </c>
      <c r="J26" s="118">
        <v>23489124.647</v>
      </c>
      <c r="K26" s="118">
        <v>38486231</v>
      </c>
      <c r="L26" s="118">
        <v>35823142</v>
      </c>
      <c r="M26" s="202">
        <v>2748787</v>
      </c>
      <c r="N26" s="202">
        <v>991392</v>
      </c>
      <c r="O26" s="202">
        <v>35823142</v>
      </c>
      <c r="P26" s="202">
        <v>32343677</v>
      </c>
      <c r="Q26" s="202">
        <v>30663018</v>
      </c>
      <c r="R26" s="202">
        <v>30278294</v>
      </c>
      <c r="S26" s="271">
        <v>32343677</v>
      </c>
      <c r="T26" s="271">
        <v>35891233</v>
      </c>
      <c r="U26" s="271">
        <v>30278294</v>
      </c>
      <c r="V26" s="271">
        <v>23100622</v>
      </c>
      <c r="W26" s="440">
        <v>35891233</v>
      </c>
      <c r="X26" s="440">
        <f>SUM(X24:X25)</f>
        <v>7449021</v>
      </c>
      <c r="Y26" s="440">
        <v>23100622</v>
      </c>
      <c r="Z26" s="440">
        <f>SUM(Z24:Z25)</f>
        <v>17806846</v>
      </c>
      <c r="AA26" s="271">
        <v>7449021</v>
      </c>
      <c r="AB26" s="271">
        <v>3940675</v>
      </c>
      <c r="AC26" s="271">
        <v>16824043</v>
      </c>
      <c r="AD26" s="271">
        <v>29456188</v>
      </c>
      <c r="AE26" s="271">
        <v>3940675</v>
      </c>
      <c r="AF26" s="271">
        <v>0</v>
      </c>
      <c r="AG26" s="271">
        <v>29456188</v>
      </c>
      <c r="AH26" s="271">
        <v>38411528</v>
      </c>
    </row>
    <row r="27" spans="2:34" x14ac:dyDescent="0.25">
      <c r="B27" s="207" t="s">
        <v>28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202"/>
      <c r="N27" s="202"/>
      <c r="O27" s="202"/>
      <c r="P27" s="202"/>
      <c r="Q27" s="202"/>
      <c r="R27" s="202"/>
      <c r="S27" s="270"/>
      <c r="T27" s="270"/>
      <c r="U27" s="270"/>
      <c r="V27" s="270"/>
      <c r="W27" s="441"/>
      <c r="X27" s="441"/>
      <c r="Y27" s="441"/>
      <c r="Z27" s="441"/>
      <c r="AA27" s="270"/>
      <c r="AB27" s="270"/>
      <c r="AC27" s="270"/>
      <c r="AD27" s="270"/>
      <c r="AE27" s="270"/>
      <c r="AF27" s="270"/>
      <c r="AG27" s="270"/>
      <c r="AH27" s="270"/>
    </row>
    <row r="28" spans="2:34" x14ac:dyDescent="0.25">
      <c r="B28" s="209" t="s">
        <v>29</v>
      </c>
      <c r="C28" s="114">
        <v>949480</v>
      </c>
      <c r="D28" s="114">
        <v>3887088</v>
      </c>
      <c r="E28" s="114">
        <v>1994780</v>
      </c>
      <c r="F28" s="114">
        <v>3322622</v>
      </c>
      <c r="G28" s="114">
        <v>2616345</v>
      </c>
      <c r="H28" s="114">
        <v>949480</v>
      </c>
      <c r="I28" s="114">
        <v>17071018.416000001</v>
      </c>
      <c r="J28" s="114">
        <v>19429689.958000001</v>
      </c>
      <c r="K28" s="114">
        <v>35433785</v>
      </c>
      <c r="L28" s="114">
        <v>33356515</v>
      </c>
      <c r="M28" s="202">
        <v>2616345</v>
      </c>
      <c r="N28" s="202">
        <v>1040000</v>
      </c>
      <c r="O28" s="202">
        <v>33356515</v>
      </c>
      <c r="P28" s="202">
        <v>29695363</v>
      </c>
      <c r="Q28" s="202">
        <v>28957447</v>
      </c>
      <c r="R28" s="202">
        <v>28806188</v>
      </c>
      <c r="S28" s="202">
        <v>29695363</v>
      </c>
      <c r="T28" s="202">
        <v>29425430</v>
      </c>
      <c r="U28" s="202">
        <v>28806188</v>
      </c>
      <c r="V28" s="202">
        <v>21104699</v>
      </c>
      <c r="W28" s="438">
        <v>29425430</v>
      </c>
      <c r="X28" s="438">
        <f>4031273+2162056</f>
        <v>6193329</v>
      </c>
      <c r="Y28" s="438">
        <v>21104699</v>
      </c>
      <c r="Z28" s="438">
        <f>12859226+2098810+216662</f>
        <v>15174698</v>
      </c>
      <c r="AA28" s="202">
        <v>6193329</v>
      </c>
      <c r="AB28" s="202">
        <v>3120695</v>
      </c>
      <c r="AC28" s="202">
        <v>14202824</v>
      </c>
      <c r="AD28" s="202">
        <v>28351294</v>
      </c>
      <c r="AE28" s="202">
        <v>3120695</v>
      </c>
      <c r="AF28" s="202"/>
      <c r="AG28" s="202">
        <v>28351294</v>
      </c>
      <c r="AH28" s="202">
        <v>36692538</v>
      </c>
    </row>
    <row r="29" spans="2:34" x14ac:dyDescent="0.25">
      <c r="B29" s="209" t="s">
        <v>30</v>
      </c>
      <c r="C29" s="114">
        <v>63161</v>
      </c>
      <c r="D29" s="114">
        <v>566596</v>
      </c>
      <c r="E29" s="114">
        <v>442546</v>
      </c>
      <c r="F29" s="114">
        <v>214830</v>
      </c>
      <c r="G29" s="114">
        <v>78320</v>
      </c>
      <c r="H29" s="114">
        <v>63161</v>
      </c>
      <c r="I29" s="114">
        <v>528399.29</v>
      </c>
      <c r="J29" s="114">
        <v>824007.80900000001</v>
      </c>
      <c r="K29" s="114">
        <v>957429</v>
      </c>
      <c r="L29" s="114">
        <v>678237</v>
      </c>
      <c r="M29" s="202">
        <v>78320</v>
      </c>
      <c r="N29" s="202">
        <v>35830</v>
      </c>
      <c r="O29" s="202">
        <v>678237</v>
      </c>
      <c r="P29" s="202">
        <v>838009</v>
      </c>
      <c r="Q29" s="202">
        <v>224900</v>
      </c>
      <c r="R29" s="202">
        <v>353738</v>
      </c>
      <c r="S29" s="202">
        <v>838009</v>
      </c>
      <c r="T29" s="202">
        <v>3631329</v>
      </c>
      <c r="U29" s="202">
        <v>353738</v>
      </c>
      <c r="V29" s="202">
        <v>1334178</v>
      </c>
      <c r="W29" s="438">
        <v>3631329</v>
      </c>
      <c r="X29" s="438">
        <v>985716</v>
      </c>
      <c r="Y29" s="438">
        <v>1334178</v>
      </c>
      <c r="Z29" s="438">
        <v>2132072</v>
      </c>
      <c r="AA29" s="202">
        <v>985716</v>
      </c>
      <c r="AB29" s="202">
        <v>549131</v>
      </c>
      <c r="AC29" s="202">
        <v>973408</v>
      </c>
      <c r="AD29" s="202">
        <v>115536</v>
      </c>
      <c r="AE29" s="202">
        <v>549131</v>
      </c>
      <c r="AF29" s="202"/>
      <c r="AG29" s="202">
        <v>115536</v>
      </c>
      <c r="AH29" s="202">
        <v>175862</v>
      </c>
    </row>
    <row r="30" spans="2:34" x14ac:dyDescent="0.25">
      <c r="B30" s="209" t="s">
        <v>31</v>
      </c>
      <c r="C30" s="114">
        <v>0</v>
      </c>
      <c r="D30" s="114">
        <v>51955</v>
      </c>
      <c r="E30" s="114">
        <v>15937</v>
      </c>
      <c r="F30" s="114">
        <v>25542</v>
      </c>
      <c r="G30" s="114">
        <v>32857</v>
      </c>
      <c r="H30" s="114">
        <v>0</v>
      </c>
      <c r="I30" s="114">
        <v>673256</v>
      </c>
      <c r="J30" s="114">
        <v>895667</v>
      </c>
      <c r="K30" s="114">
        <v>1003932</v>
      </c>
      <c r="L30" s="114">
        <v>774141</v>
      </c>
      <c r="M30" s="202">
        <v>32857</v>
      </c>
      <c r="N30" s="202">
        <v>12057</v>
      </c>
      <c r="O30" s="202">
        <v>774141</v>
      </c>
      <c r="P30" s="202">
        <v>1026376</v>
      </c>
      <c r="Q30" s="202">
        <v>520381</v>
      </c>
      <c r="R30" s="202">
        <v>500076</v>
      </c>
      <c r="S30" s="202">
        <v>1026376</v>
      </c>
      <c r="T30" s="202">
        <v>840210</v>
      </c>
      <c r="U30" s="202">
        <v>500076</v>
      </c>
      <c r="V30" s="202">
        <v>334998</v>
      </c>
      <c r="W30" s="438">
        <v>840210</v>
      </c>
      <c r="X30" s="438">
        <f>126889+29697</f>
        <v>156586</v>
      </c>
      <c r="Y30" s="438">
        <v>334998</v>
      </c>
      <c r="Z30" s="438">
        <f>185000+65000</f>
        <v>250000</v>
      </c>
      <c r="AA30" s="202">
        <v>156586</v>
      </c>
      <c r="AB30" s="202">
        <v>130000</v>
      </c>
      <c r="AC30" s="202">
        <v>654329</v>
      </c>
      <c r="AD30" s="202">
        <v>370829</v>
      </c>
      <c r="AE30" s="202">
        <v>130000</v>
      </c>
      <c r="AF30" s="202"/>
      <c r="AG30" s="202">
        <v>370829</v>
      </c>
      <c r="AH30" s="202">
        <v>671045</v>
      </c>
    </row>
    <row r="31" spans="2:34" ht="15.75" thickBot="1" x14ac:dyDescent="0.3">
      <c r="B31" s="214" t="s">
        <v>32</v>
      </c>
      <c r="C31" s="134">
        <v>1012641</v>
      </c>
      <c r="D31" s="134">
        <v>4505639</v>
      </c>
      <c r="E31" s="134">
        <v>2453263</v>
      </c>
      <c r="F31" s="134">
        <v>3562994</v>
      </c>
      <c r="G31" s="134">
        <v>2727522</v>
      </c>
      <c r="H31" s="134">
        <v>1012641</v>
      </c>
      <c r="I31" s="134">
        <v>18272673.706</v>
      </c>
      <c r="J31" s="134">
        <v>21149364.767000001</v>
      </c>
      <c r="K31" s="134">
        <v>37395146</v>
      </c>
      <c r="L31" s="134">
        <v>34808893</v>
      </c>
      <c r="M31" s="202">
        <v>2727522</v>
      </c>
      <c r="N31" s="202">
        <v>1087887</v>
      </c>
      <c r="O31" s="202">
        <v>34808893</v>
      </c>
      <c r="P31" s="202">
        <v>31559748</v>
      </c>
      <c r="Q31" s="202">
        <v>29702728</v>
      </c>
      <c r="R31" s="202">
        <v>29660002</v>
      </c>
      <c r="S31" s="328">
        <v>31559748</v>
      </c>
      <c r="T31" s="328">
        <v>33896969</v>
      </c>
      <c r="U31" s="328">
        <v>29660002</v>
      </c>
      <c r="V31" s="202">
        <v>22773875</v>
      </c>
      <c r="W31" s="443">
        <v>33896969</v>
      </c>
      <c r="X31" s="443">
        <f>SUM(X28:X30)</f>
        <v>7335631</v>
      </c>
      <c r="Y31" s="443">
        <v>22773875</v>
      </c>
      <c r="Z31" s="438">
        <f>SUM(Z28:Z30)</f>
        <v>17556770</v>
      </c>
      <c r="AA31" s="328">
        <v>7335631</v>
      </c>
      <c r="AB31" s="202">
        <v>3799826</v>
      </c>
      <c r="AC31" s="202">
        <v>15830561</v>
      </c>
      <c r="AD31" s="202">
        <v>28837659</v>
      </c>
      <c r="AE31" s="328">
        <v>3799826</v>
      </c>
      <c r="AF31" s="202"/>
      <c r="AG31" s="202">
        <v>28837659</v>
      </c>
      <c r="AH31" s="202">
        <v>37539445</v>
      </c>
    </row>
    <row r="32" spans="2:34" ht="15.75" thickBot="1" x14ac:dyDescent="0.3">
      <c r="B32" s="215" t="s">
        <v>33</v>
      </c>
      <c r="C32" s="130">
        <v>-311661</v>
      </c>
      <c r="D32" s="130">
        <v>598146</v>
      </c>
      <c r="E32" s="130">
        <v>209859</v>
      </c>
      <c r="F32" s="130">
        <v>-715081</v>
      </c>
      <c r="G32" s="130">
        <v>86648</v>
      </c>
      <c r="H32" s="130">
        <v>-311661</v>
      </c>
      <c r="I32" s="130">
        <v>1634215.3900000006</v>
      </c>
      <c r="J32" s="130">
        <v>3309782.4479999989</v>
      </c>
      <c r="K32" s="130">
        <v>2402207</v>
      </c>
      <c r="L32" s="130">
        <v>1250597</v>
      </c>
      <c r="M32" s="268">
        <v>86648</v>
      </c>
      <c r="N32" s="268">
        <v>-49738</v>
      </c>
      <c r="O32" s="268">
        <v>1250597</v>
      </c>
      <c r="P32" s="268">
        <v>2490367</v>
      </c>
      <c r="Q32" s="268">
        <v>1313097</v>
      </c>
      <c r="R32" s="268">
        <v>527568</v>
      </c>
      <c r="S32" s="327">
        <v>2490367</v>
      </c>
      <c r="T32" s="327">
        <v>3528748</v>
      </c>
      <c r="U32" s="327">
        <v>527568</v>
      </c>
      <c r="V32" s="327">
        <v>1225504</v>
      </c>
      <c r="W32" s="444">
        <v>3528748</v>
      </c>
      <c r="X32" s="444">
        <f>+X24-X28</f>
        <v>989385</v>
      </c>
      <c r="Y32" s="444">
        <v>1225504</v>
      </c>
      <c r="Z32" s="444">
        <f>+Z24-Z28</f>
        <v>1492223</v>
      </c>
      <c r="AA32" s="327">
        <v>989385</v>
      </c>
      <c r="AB32" s="327">
        <v>550998</v>
      </c>
      <c r="AC32" s="327">
        <v>2464097</v>
      </c>
      <c r="AD32" s="327">
        <v>1065166</v>
      </c>
      <c r="AE32" s="327">
        <v>550998</v>
      </c>
      <c r="AF32" s="327">
        <v>0</v>
      </c>
      <c r="AG32" s="327">
        <v>1065166</v>
      </c>
      <c r="AH32" s="327">
        <v>1474616</v>
      </c>
    </row>
    <row r="33" spans="2:34" ht="15.75" thickBot="1" x14ac:dyDescent="0.3">
      <c r="B33" s="216" t="s">
        <v>34</v>
      </c>
      <c r="C33" s="140">
        <v>65854</v>
      </c>
      <c r="D33" s="140">
        <v>31634</v>
      </c>
      <c r="E33" s="140">
        <v>7538</v>
      </c>
      <c r="F33" s="140">
        <v>2428</v>
      </c>
      <c r="G33" s="140">
        <v>21265</v>
      </c>
      <c r="H33" s="140">
        <v>65854</v>
      </c>
      <c r="I33" s="140">
        <v>1103984.2480000034</v>
      </c>
      <c r="J33" s="140">
        <v>2339759.879999999</v>
      </c>
      <c r="K33" s="140">
        <v>1091085</v>
      </c>
      <c r="L33" s="140">
        <v>1014249</v>
      </c>
      <c r="M33" s="258">
        <v>21265</v>
      </c>
      <c r="N33" s="258">
        <v>-96495</v>
      </c>
      <c r="O33" s="258">
        <v>1014249</v>
      </c>
      <c r="P33" s="258">
        <v>783929</v>
      </c>
      <c r="Q33" s="258">
        <v>960290</v>
      </c>
      <c r="R33" s="258">
        <v>618292</v>
      </c>
      <c r="S33" s="314">
        <v>783929</v>
      </c>
      <c r="T33" s="314">
        <v>1994264</v>
      </c>
      <c r="U33" s="314">
        <v>618292</v>
      </c>
      <c r="V33" s="314">
        <v>326747</v>
      </c>
      <c r="W33" s="434">
        <v>1994264</v>
      </c>
      <c r="X33" s="434">
        <f>+X26-X31</f>
        <v>113390</v>
      </c>
      <c r="Y33" s="434">
        <v>326747</v>
      </c>
      <c r="Z33" s="434">
        <f>+Z26-Z31</f>
        <v>250076</v>
      </c>
      <c r="AA33" s="314">
        <v>113390</v>
      </c>
      <c r="AB33" s="314">
        <v>140849</v>
      </c>
      <c r="AC33" s="314">
        <v>993482</v>
      </c>
      <c r="AD33" s="314">
        <v>618529</v>
      </c>
      <c r="AE33" s="314">
        <v>140849</v>
      </c>
      <c r="AF33" s="314">
        <v>0</v>
      </c>
      <c r="AG33" s="314">
        <v>618529</v>
      </c>
      <c r="AH33" s="314">
        <v>872083</v>
      </c>
    </row>
  </sheetData>
  <mergeCells count="14">
    <mergeCell ref="AG2:AH2"/>
    <mergeCell ref="AE2:AF2"/>
    <mergeCell ref="U2:V2"/>
    <mergeCell ref="S2:T2"/>
    <mergeCell ref="W2:X2"/>
    <mergeCell ref="Y2:Z2"/>
    <mergeCell ref="AC2:AD2"/>
    <mergeCell ref="AA2:AB2"/>
    <mergeCell ref="B2:B3"/>
    <mergeCell ref="C2:G2"/>
    <mergeCell ref="H2:L2"/>
    <mergeCell ref="Q2:R2"/>
    <mergeCell ref="M2:N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comercial_troncal</vt:lpstr>
      <vt:lpstr>gobierno</vt:lpstr>
      <vt:lpstr>comercial_secundario </vt:lpstr>
      <vt:lpstr>internacional</vt:lpstr>
      <vt:lpstr>comercial_regional</vt:lpstr>
      <vt:lpstr>aerotaxis</vt:lpstr>
      <vt:lpstr>comercial carga</vt:lpstr>
      <vt:lpstr>especial_carga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Leguizamon</dc:creator>
  <cp:lastModifiedBy>Andres Felipe Leguizamon</cp:lastModifiedBy>
  <dcterms:created xsi:type="dcterms:W3CDTF">2024-11-28T23:07:28Z</dcterms:created>
  <dcterms:modified xsi:type="dcterms:W3CDTF">2024-11-30T19:57:18Z</dcterms:modified>
</cp:coreProperties>
</file>