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\Documents\"/>
    </mc:Choice>
  </mc:AlternateContent>
  <xr:revisionPtr revIDLastSave="0" documentId="13_ncr:1_{DDEDB0AB-BC63-4714-ACDA-BBBB0270F53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4" i="1" l="1"/>
  <c r="B28" i="1"/>
  <c r="B36" i="1"/>
  <c r="B63" i="1" s="1"/>
  <c r="B109" i="1"/>
  <c r="B110" i="1" s="1"/>
  <c r="C77" i="1"/>
  <c r="C78" i="1"/>
  <c r="C79" i="1"/>
  <c r="C10" i="1"/>
  <c r="C80" i="1"/>
  <c r="C11" i="1"/>
  <c r="C81" i="1"/>
  <c r="C12" i="1"/>
  <c r="C82" i="1"/>
  <c r="C13" i="1"/>
  <c r="C83" i="1"/>
  <c r="C14" i="1"/>
  <c r="C84" i="1"/>
  <c r="C15" i="1"/>
  <c r="D15" i="1" s="1"/>
  <c r="D85" i="1" s="1"/>
  <c r="C85" i="1"/>
  <c r="C16" i="1"/>
  <c r="C86" i="1"/>
  <c r="B39" i="1"/>
  <c r="B40" i="1"/>
  <c r="B41" i="1"/>
  <c r="B44" i="1"/>
  <c r="B46" i="1"/>
  <c r="C55" i="1"/>
  <c r="C56" i="1"/>
  <c r="C57" i="1"/>
  <c r="C102" i="1"/>
  <c r="C103" i="1"/>
  <c r="C18" i="1"/>
  <c r="D7" i="1"/>
  <c r="D8" i="1"/>
  <c r="D77" i="1"/>
  <c r="D78" i="1"/>
  <c r="D10" i="1"/>
  <c r="D80" i="1"/>
  <c r="D11" i="1"/>
  <c r="D81" i="1" s="1"/>
  <c r="D12" i="1"/>
  <c r="D82" i="1"/>
  <c r="D13" i="1"/>
  <c r="D83" i="1" s="1"/>
  <c r="D14" i="1"/>
  <c r="D84" i="1"/>
  <c r="D16" i="1"/>
  <c r="D86" i="1"/>
  <c r="C50" i="1"/>
  <c r="C52" i="1"/>
  <c r="C41" i="1" s="1"/>
  <c r="D55" i="1"/>
  <c r="D56" i="1"/>
  <c r="D102" i="1"/>
  <c r="D103" i="1"/>
  <c r="D18" i="1"/>
  <c r="E7" i="1"/>
  <c r="E8" i="1"/>
  <c r="E77" i="1"/>
  <c r="E78" i="1"/>
  <c r="E10" i="1"/>
  <c r="E80" i="1"/>
  <c r="E12" i="1"/>
  <c r="E82" i="1"/>
  <c r="E13" i="1"/>
  <c r="E83" i="1" s="1"/>
  <c r="E14" i="1"/>
  <c r="E84" i="1"/>
  <c r="E16" i="1"/>
  <c r="E86" i="1"/>
  <c r="D50" i="1"/>
  <c r="D52" i="1"/>
  <c r="D41" i="1" s="1"/>
  <c r="E55" i="1"/>
  <c r="E56" i="1"/>
  <c r="E102" i="1"/>
  <c r="E103" i="1"/>
  <c r="E18" i="1"/>
  <c r="F7" i="1"/>
  <c r="F8" i="1"/>
  <c r="F77" i="1"/>
  <c r="F78" i="1"/>
  <c r="F10" i="1"/>
  <c r="F80" i="1"/>
  <c r="F12" i="1"/>
  <c r="F82" i="1"/>
  <c r="F13" i="1"/>
  <c r="F83" i="1" s="1"/>
  <c r="F14" i="1"/>
  <c r="F84" i="1"/>
  <c r="F16" i="1"/>
  <c r="F86" i="1"/>
  <c r="E50" i="1"/>
  <c r="E52" i="1"/>
  <c r="E41" i="1" s="1"/>
  <c r="F55" i="1"/>
  <c r="F56" i="1"/>
  <c r="F102" i="1"/>
  <c r="F103" i="1"/>
  <c r="F18" i="1"/>
  <c r="G7" i="1"/>
  <c r="G8" i="1"/>
  <c r="G77" i="1"/>
  <c r="G10" i="1"/>
  <c r="G80" i="1"/>
  <c r="G12" i="1"/>
  <c r="G82" i="1"/>
  <c r="G13" i="1"/>
  <c r="G83" i="1" s="1"/>
  <c r="G14" i="1"/>
  <c r="G84" i="1"/>
  <c r="G16" i="1"/>
  <c r="G86" i="1"/>
  <c r="F50" i="1"/>
  <c r="F52" i="1"/>
  <c r="F41" i="1" s="1"/>
  <c r="G55" i="1"/>
  <c r="G56" i="1"/>
  <c r="G102" i="1"/>
  <c r="G103" i="1"/>
  <c r="G18" i="1"/>
  <c r="H5" i="1"/>
  <c r="H7" i="1"/>
  <c r="H4" i="1"/>
  <c r="I4" i="1" s="1"/>
  <c r="J4" i="1" s="1"/>
  <c r="K4" i="1" s="1"/>
  <c r="L4" i="1" s="1"/>
  <c r="H8" i="1"/>
  <c r="H12" i="1"/>
  <c r="H82" i="1" s="1"/>
  <c r="H14" i="1"/>
  <c r="H84" i="1" s="1"/>
  <c r="H16" i="1"/>
  <c r="H86" i="1" s="1"/>
  <c r="G52" i="1"/>
  <c r="G41" i="1"/>
  <c r="H56" i="1"/>
  <c r="H58" i="1"/>
  <c r="H89" i="1" s="1"/>
  <c r="H108" i="1" s="1"/>
  <c r="H102" i="1"/>
  <c r="H103" i="1"/>
  <c r="I5" i="1"/>
  <c r="I7" i="1"/>
  <c r="I14" i="1"/>
  <c r="H52" i="1"/>
  <c r="H41" i="1"/>
  <c r="I56" i="1"/>
  <c r="I60" i="1"/>
  <c r="I91" i="1" s="1"/>
  <c r="I102" i="1"/>
  <c r="I52" i="1"/>
  <c r="I41" i="1"/>
  <c r="I92" i="1" s="1"/>
  <c r="I103" i="1"/>
  <c r="I61" i="1"/>
  <c r="I109" i="1"/>
  <c r="J5" i="1"/>
  <c r="J102" i="1"/>
  <c r="J103" i="1"/>
  <c r="K5" i="1"/>
  <c r="L5" i="1" s="1"/>
  <c r="J50" i="1"/>
  <c r="J39" i="1" s="1"/>
  <c r="K102" i="1"/>
  <c r="K103" i="1"/>
  <c r="L102" i="1"/>
  <c r="L103" i="1"/>
  <c r="A108" i="1"/>
  <c r="A107" i="1"/>
  <c r="A106" i="1"/>
  <c r="A105" i="1"/>
  <c r="A104" i="1"/>
  <c r="A103" i="1"/>
  <c r="A102" i="1"/>
  <c r="A101" i="1"/>
  <c r="A87" i="1"/>
  <c r="A86" i="1"/>
  <c r="A85" i="1"/>
  <c r="A84" i="1"/>
  <c r="A83" i="1"/>
  <c r="A82" i="1"/>
  <c r="A81" i="1"/>
  <c r="A80" i="1"/>
  <c r="A57" i="1"/>
  <c r="A56" i="1"/>
  <c r="A55" i="1"/>
  <c r="B38" i="1"/>
  <c r="C38" i="1"/>
  <c r="D38" i="1"/>
  <c r="E38" i="1"/>
  <c r="F38" i="1" s="1"/>
  <c r="B42" i="1"/>
  <c r="L50" i="1"/>
  <c r="L39" i="1"/>
  <c r="D72" i="1"/>
  <c r="I72" i="1"/>
  <c r="I58" i="1" l="1"/>
  <c r="I89" i="1" s="1"/>
  <c r="I108" i="1" s="1"/>
  <c r="J56" i="1"/>
  <c r="I84" i="1"/>
  <c r="J14" i="1"/>
  <c r="C58" i="1"/>
  <c r="C89" i="1" s="1"/>
  <c r="C108" i="1" s="1"/>
  <c r="D57" i="1"/>
  <c r="J72" i="1"/>
  <c r="C72" i="1"/>
  <c r="E72" i="1"/>
  <c r="H72" i="1"/>
  <c r="K72" i="1"/>
  <c r="B70" i="1"/>
  <c r="F72" i="1"/>
  <c r="G38" i="1"/>
  <c r="G72" i="1"/>
  <c r="L72" i="1"/>
  <c r="H13" i="1"/>
  <c r="H83" i="1" s="1"/>
  <c r="I8" i="1"/>
  <c r="H18" i="1"/>
  <c r="G79" i="1"/>
  <c r="G78" i="1"/>
  <c r="E15" i="1"/>
  <c r="B45" i="1"/>
  <c r="H10" i="1"/>
  <c r="H77" i="1"/>
  <c r="E11" i="1"/>
  <c r="E79" i="1"/>
  <c r="I50" i="1"/>
  <c r="I39" i="1" s="1"/>
  <c r="K50" i="1"/>
  <c r="K39" i="1" s="1"/>
  <c r="G50" i="1"/>
  <c r="G39" i="1" s="1"/>
  <c r="H50" i="1"/>
  <c r="H39" i="1" s="1"/>
  <c r="C39" i="1"/>
  <c r="D39" i="1"/>
  <c r="E39" i="1"/>
  <c r="F39" i="1"/>
  <c r="C17" i="1"/>
  <c r="C87" i="1" s="1"/>
  <c r="D79" i="1"/>
  <c r="F79" i="1"/>
  <c r="J7" i="1"/>
  <c r="E57" i="1" l="1"/>
  <c r="D58" i="1"/>
  <c r="D89" i="1" s="1"/>
  <c r="D108" i="1" s="1"/>
  <c r="I13" i="1"/>
  <c r="I83" i="1" s="1"/>
  <c r="I18" i="1"/>
  <c r="I12" i="1"/>
  <c r="I82" i="1" s="1"/>
  <c r="I16" i="1"/>
  <c r="I86" i="1" s="1"/>
  <c r="J8" i="1"/>
  <c r="K8" i="1" s="1"/>
  <c r="L8" i="1" s="1"/>
  <c r="H38" i="1"/>
  <c r="F17" i="1"/>
  <c r="F87" i="1" s="1"/>
  <c r="E81" i="1"/>
  <c r="F11" i="1"/>
  <c r="I77" i="1"/>
  <c r="J58" i="1"/>
  <c r="J89" i="1" s="1"/>
  <c r="J108" i="1" s="1"/>
  <c r="K56" i="1"/>
  <c r="H78" i="1"/>
  <c r="H79" i="1" s="1"/>
  <c r="J51" i="1"/>
  <c r="J40" i="1" s="1"/>
  <c r="K17" i="1" s="1"/>
  <c r="K87" i="1" s="1"/>
  <c r="C51" i="1"/>
  <c r="C40" i="1" s="1"/>
  <c r="C42" i="1" s="1"/>
  <c r="D51" i="1"/>
  <c r="D40" i="1" s="1"/>
  <c r="E17" i="1" s="1"/>
  <c r="E87" i="1" s="1"/>
  <c r="E51" i="1"/>
  <c r="E40" i="1" s="1"/>
  <c r="E42" i="1" s="1"/>
  <c r="F51" i="1"/>
  <c r="F40" i="1" s="1"/>
  <c r="F42" i="1" s="1"/>
  <c r="I51" i="1"/>
  <c r="I40" i="1" s="1"/>
  <c r="J17" i="1" s="1"/>
  <c r="J87" i="1" s="1"/>
  <c r="K51" i="1"/>
  <c r="K40" i="1" s="1"/>
  <c r="L17" i="1" s="1"/>
  <c r="L87" i="1" s="1"/>
  <c r="L51" i="1"/>
  <c r="L40" i="1" s="1"/>
  <c r="G51" i="1"/>
  <c r="G40" i="1" s="1"/>
  <c r="G42" i="1" s="1"/>
  <c r="H51" i="1"/>
  <c r="H40" i="1" s="1"/>
  <c r="J88" i="1"/>
  <c r="B47" i="1"/>
  <c r="C71" i="1"/>
  <c r="C93" i="1" s="1"/>
  <c r="K14" i="1"/>
  <c r="J84" i="1"/>
  <c r="I17" i="1"/>
  <c r="I87" i="1" s="1"/>
  <c r="H80" i="1"/>
  <c r="I10" i="1"/>
  <c r="E85" i="1"/>
  <c r="F15" i="1"/>
  <c r="K7" i="1"/>
  <c r="J77" i="1"/>
  <c r="F85" i="1" l="1"/>
  <c r="G15" i="1"/>
  <c r="K88" i="1"/>
  <c r="J107" i="1"/>
  <c r="F57" i="1"/>
  <c r="E58" i="1"/>
  <c r="E89" i="1" s="1"/>
  <c r="E108" i="1" s="1"/>
  <c r="K12" i="1"/>
  <c r="K82" i="1" s="1"/>
  <c r="K16" i="1"/>
  <c r="K86" i="1" s="1"/>
  <c r="L7" i="1"/>
  <c r="K77" i="1"/>
  <c r="K13" i="1"/>
  <c r="K83" i="1" s="1"/>
  <c r="K18" i="1"/>
  <c r="I78" i="1"/>
  <c r="I79" i="1"/>
  <c r="C73" i="1"/>
  <c r="C70" i="1" s="1"/>
  <c r="J18" i="1"/>
  <c r="J13" i="1"/>
  <c r="J83" i="1" s="1"/>
  <c r="D17" i="1"/>
  <c r="D87" i="1" s="1"/>
  <c r="D90" i="1" s="1"/>
  <c r="H17" i="1"/>
  <c r="H87" i="1" s="1"/>
  <c r="I38" i="1"/>
  <c r="H42" i="1"/>
  <c r="G17" i="1"/>
  <c r="G87" i="1" s="1"/>
  <c r="J78" i="1"/>
  <c r="J79" i="1"/>
  <c r="F81" i="1"/>
  <c r="G11" i="1"/>
  <c r="J12" i="1"/>
  <c r="J82" i="1" s="1"/>
  <c r="D42" i="1"/>
  <c r="I80" i="1"/>
  <c r="J10" i="1"/>
  <c r="J16" i="1"/>
  <c r="J86" i="1" s="1"/>
  <c r="K84" i="1"/>
  <c r="L14" i="1"/>
  <c r="L84" i="1" s="1"/>
  <c r="H88" i="1"/>
  <c r="H107" i="1" s="1"/>
  <c r="I88" i="1"/>
  <c r="I107" i="1" s="1"/>
  <c r="C88" i="1"/>
  <c r="G88" i="1"/>
  <c r="G107" i="1" s="1"/>
  <c r="E88" i="1"/>
  <c r="E107" i="1" s="1"/>
  <c r="F88" i="1"/>
  <c r="F107" i="1" s="1"/>
  <c r="D88" i="1"/>
  <c r="D107" i="1" s="1"/>
  <c r="L56" i="1"/>
  <c r="L58" i="1" s="1"/>
  <c r="L89" i="1" s="1"/>
  <c r="L108" i="1" s="1"/>
  <c r="K58" i="1"/>
  <c r="K89" i="1" s="1"/>
  <c r="K108" i="1" s="1"/>
  <c r="G81" i="1" l="1"/>
  <c r="H11" i="1"/>
  <c r="K79" i="1"/>
  <c r="K78" i="1"/>
  <c r="G85" i="1"/>
  <c r="H15" i="1"/>
  <c r="F90" i="1"/>
  <c r="F58" i="1"/>
  <c r="F89" i="1" s="1"/>
  <c r="F108" i="1" s="1"/>
  <c r="G57" i="1"/>
  <c r="G58" i="1" s="1"/>
  <c r="G89" i="1" s="1"/>
  <c r="G108" i="1" s="1"/>
  <c r="J38" i="1"/>
  <c r="I42" i="1"/>
  <c r="E90" i="1"/>
  <c r="K10" i="1"/>
  <c r="J80" i="1"/>
  <c r="D101" i="1"/>
  <c r="D104" i="1" s="1"/>
  <c r="L13" i="1"/>
  <c r="L83" i="1" s="1"/>
  <c r="L16" i="1"/>
  <c r="L86" i="1" s="1"/>
  <c r="L12" i="1"/>
  <c r="L82" i="1" s="1"/>
  <c r="L18" i="1"/>
  <c r="L77" i="1"/>
  <c r="C107" i="1"/>
  <c r="C90" i="1"/>
  <c r="D71" i="1"/>
  <c r="K107" i="1"/>
  <c r="L88" i="1"/>
  <c r="L107" i="1" s="1"/>
  <c r="L78" i="1" l="1"/>
  <c r="L79" i="1"/>
  <c r="L10" i="1"/>
  <c r="L80" i="1" s="1"/>
  <c r="K80" i="1"/>
  <c r="E101" i="1"/>
  <c r="E104" i="1" s="1"/>
  <c r="I11" i="1"/>
  <c r="H81" i="1"/>
  <c r="J42" i="1"/>
  <c r="K38" i="1"/>
  <c r="F101" i="1"/>
  <c r="F104" i="1" s="1"/>
  <c r="I15" i="1"/>
  <c r="H85" i="1"/>
  <c r="D93" i="1"/>
  <c r="D94" i="1" s="1"/>
  <c r="D73" i="1"/>
  <c r="D70" i="1" s="1"/>
  <c r="C94" i="1"/>
  <c r="C101" i="1"/>
  <c r="C104" i="1" s="1"/>
  <c r="D105" i="1"/>
  <c r="D106" i="1" s="1"/>
  <c r="D110" i="1" s="1"/>
  <c r="G90" i="1"/>
  <c r="C105" i="1" l="1"/>
  <c r="C106" i="1" s="1"/>
  <c r="C110" i="1" s="1"/>
  <c r="K42" i="1"/>
  <c r="L38" i="1"/>
  <c r="L42" i="1" s="1"/>
  <c r="E105" i="1"/>
  <c r="E106" i="1" s="1"/>
  <c r="E110" i="1" s="1"/>
  <c r="G101" i="1"/>
  <c r="G104" i="1" s="1"/>
  <c r="C95" i="1"/>
  <c r="C96" i="1"/>
  <c r="J15" i="1"/>
  <c r="I85" i="1"/>
  <c r="E71" i="1"/>
  <c r="H90" i="1"/>
  <c r="F105" i="1"/>
  <c r="F106" i="1" s="1"/>
  <c r="F110" i="1" s="1"/>
  <c r="D95" i="1"/>
  <c r="D96" i="1" s="1"/>
  <c r="J11" i="1"/>
  <c r="I81" i="1"/>
  <c r="I90" i="1" s="1"/>
  <c r="I101" i="1" l="1"/>
  <c r="I104" i="1" s="1"/>
  <c r="E93" i="1"/>
  <c r="E94" i="1" s="1"/>
  <c r="E73" i="1"/>
  <c r="E70" i="1" s="1"/>
  <c r="J81" i="1"/>
  <c r="K11" i="1"/>
  <c r="H101" i="1"/>
  <c r="H104" i="1" s="1"/>
  <c r="J85" i="1"/>
  <c r="K15" i="1"/>
  <c r="G106" i="1"/>
  <c r="G110" i="1" s="1"/>
  <c r="G105" i="1"/>
  <c r="L11" i="1" l="1"/>
  <c r="L81" i="1" s="1"/>
  <c r="K81" i="1"/>
  <c r="K90" i="1" s="1"/>
  <c r="E95" i="1"/>
  <c r="E96" i="1" s="1"/>
  <c r="L15" i="1"/>
  <c r="L85" i="1" s="1"/>
  <c r="K85" i="1"/>
  <c r="I105" i="1"/>
  <c r="I106" i="1" s="1"/>
  <c r="I110" i="1" s="1"/>
  <c r="J90" i="1"/>
  <c r="H105" i="1"/>
  <c r="H106" i="1" s="1"/>
  <c r="H110" i="1" s="1"/>
  <c r="F71" i="1"/>
  <c r="K101" i="1" l="1"/>
  <c r="K104" i="1" s="1"/>
  <c r="L90" i="1"/>
  <c r="F93" i="1"/>
  <c r="F94" i="1" s="1"/>
  <c r="F73" i="1"/>
  <c r="F70" i="1" s="1"/>
  <c r="J101" i="1"/>
  <c r="J104" i="1" s="1"/>
  <c r="F95" i="1" l="1"/>
  <c r="F96" i="1" s="1"/>
  <c r="J105" i="1"/>
  <c r="J106" i="1"/>
  <c r="J110" i="1" s="1"/>
  <c r="L101" i="1"/>
  <c r="L104" i="1" s="1"/>
  <c r="K105" i="1"/>
  <c r="K106" i="1" s="1"/>
  <c r="K110" i="1" s="1"/>
  <c r="G71" i="1"/>
  <c r="G93" i="1" l="1"/>
  <c r="G94" i="1" s="1"/>
  <c r="G73" i="1"/>
  <c r="G70" i="1" s="1"/>
  <c r="L105" i="1"/>
  <c r="L106" i="1"/>
  <c r="L110" i="1" s="1"/>
  <c r="B113" i="1" s="1"/>
  <c r="H71" i="1" l="1"/>
  <c r="G95" i="1"/>
  <c r="G96" i="1"/>
  <c r="H93" i="1" l="1"/>
  <c r="H94" i="1" s="1"/>
  <c r="H73" i="1"/>
  <c r="H70" i="1" s="1"/>
  <c r="I71" i="1" l="1"/>
  <c r="H95" i="1"/>
  <c r="H96" i="1" s="1"/>
  <c r="I93" i="1" l="1"/>
  <c r="I94" i="1" s="1"/>
  <c r="I73" i="1"/>
  <c r="I70" i="1" s="1"/>
  <c r="J71" i="1" l="1"/>
  <c r="I95" i="1"/>
  <c r="I96" i="1"/>
  <c r="J93" i="1" l="1"/>
  <c r="J94" i="1" s="1"/>
  <c r="J73" i="1"/>
  <c r="J70" i="1" s="1"/>
  <c r="K71" i="1" l="1"/>
  <c r="J95" i="1"/>
  <c r="J96" i="1"/>
  <c r="K93" i="1" l="1"/>
  <c r="K94" i="1" s="1"/>
  <c r="K73" i="1"/>
  <c r="K70" i="1" s="1"/>
  <c r="L71" i="1" l="1"/>
  <c r="K95" i="1"/>
  <c r="K96" i="1" s="1"/>
  <c r="L93" i="1" l="1"/>
  <c r="L94" i="1" s="1"/>
  <c r="L73" i="1"/>
  <c r="L70" i="1" s="1"/>
  <c r="L95" i="1" l="1"/>
  <c r="L96" i="1"/>
</calcChain>
</file>

<file path=xl/sharedStrings.xml><?xml version="1.0" encoding="utf-8"?>
<sst xmlns="http://schemas.openxmlformats.org/spreadsheetml/2006/main" count="71" uniqueCount="59">
  <si>
    <t>Ventas Unds</t>
  </si>
  <si>
    <t>Precio de Venta</t>
  </si>
  <si>
    <t>IPC</t>
  </si>
  <si>
    <t>PIB</t>
  </si>
  <si>
    <t>Margen Bruto</t>
  </si>
  <si>
    <t>Arriendo</t>
  </si>
  <si>
    <t>Gastos de personal</t>
  </si>
  <si>
    <t>Gastos Variables</t>
  </si>
  <si>
    <t>Servicios Publicos</t>
  </si>
  <si>
    <t>Fletes</t>
  </si>
  <si>
    <t>Honorarios</t>
  </si>
  <si>
    <t>Aseo, cafeteria y otros</t>
  </si>
  <si>
    <t>INVERSIONES:</t>
  </si>
  <si>
    <t>Terreno</t>
  </si>
  <si>
    <t>Obras civiles</t>
  </si>
  <si>
    <t>Maquinaria y equipo</t>
  </si>
  <si>
    <t>Maquinaria especial</t>
  </si>
  <si>
    <t>Tangibles</t>
  </si>
  <si>
    <t>Intangibles</t>
  </si>
  <si>
    <t>Software</t>
  </si>
  <si>
    <t>Patentes</t>
  </si>
  <si>
    <t>Estudios previos</t>
  </si>
  <si>
    <t>Valor</t>
  </si>
  <si>
    <t>Vida Util</t>
  </si>
  <si>
    <t>TOTAL INVERSION INICIAL</t>
  </si>
  <si>
    <t>VALOR CONTABLE</t>
  </si>
  <si>
    <t>DEPRECIACION</t>
  </si>
  <si>
    <t>DEPRECIACION ACUMULADA</t>
  </si>
  <si>
    <t>Seguros</t>
  </si>
  <si>
    <t>Impuesto menores</t>
  </si>
  <si>
    <t>AMORTIZACIONES</t>
  </si>
  <si>
    <t>VENTA MAQUINARIA</t>
  </si>
  <si>
    <t>COMPRA MAQUINARIA</t>
  </si>
  <si>
    <t>DEUDA</t>
  </si>
  <si>
    <t>Plazo (años)</t>
  </si>
  <si>
    <t>Tasa (EA)</t>
  </si>
  <si>
    <t>Cuotas iguales</t>
  </si>
  <si>
    <t>Saldo</t>
  </si>
  <si>
    <t>Intereses</t>
  </si>
  <si>
    <t>Cuota</t>
  </si>
  <si>
    <t>Capital</t>
  </si>
  <si>
    <t>Tasa impuestos</t>
  </si>
  <si>
    <t>FLUJO DE CAJA DEL PROYECTO</t>
  </si>
  <si>
    <t>ESTADO DE RESULTADOS</t>
  </si>
  <si>
    <t>Ingresos</t>
  </si>
  <si>
    <t>Depreciaciones</t>
  </si>
  <si>
    <t>Amortizaciones</t>
  </si>
  <si>
    <t>UAII</t>
  </si>
  <si>
    <t>UTILIDAD BRUTA</t>
  </si>
  <si>
    <t>CMV</t>
  </si>
  <si>
    <t>Otros egresos</t>
  </si>
  <si>
    <t>Otros ingresos</t>
  </si>
  <si>
    <t xml:space="preserve">UAI </t>
  </si>
  <si>
    <t>UN</t>
  </si>
  <si>
    <t>Impuestos</t>
  </si>
  <si>
    <t>Inversiones</t>
  </si>
  <si>
    <t>WACC (EA)</t>
  </si>
  <si>
    <t>VPN</t>
  </si>
  <si>
    <t>Camila Gil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</si>
</sst>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&quot;$&quot;* #,##0.00_-;\-&quot;$&quot;* #,##0.00_-;_-&quot;$&quot;* &quot;-&quot;??_-;_-@_-"/>
    <numFmt numFmtId="165" formatCode="_-* #,##0_-;\-* #,##0_-;_-* &quot;-&quot;??_-;_-@_-"/>
    <numFmt numFmtId="166" formatCode="_-&quot;$&quot;* #,##0_-;\-&quot;$&quot;* #,##0_-;_-&quot;$&quot;* &quot;-&quot;??_-;_-@_-"/>
    <numFmt numFmtId="167" formatCode="_(&quot;$&quot;\ * #,##0.00_);_(&quot;$&quot;\ * \(#,##0.00\);_(&quot;$&quot;\ 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18">
    <xf numFmtId="0" fontId="0" fillId="0" borderId="0" xfId="0"/>
    <xf numFmtId="10" fontId="0" fillId="0" borderId="0" xfId="0" applyNumberFormat="1"/>
    <xf numFmtId="10" fontId="0" fillId="0" borderId="0" xfId="3" applyNumberFormat="1" applyFont="1"/>
    <xf numFmtId="165" fontId="0" fillId="0" borderId="0" xfId="1" applyNumberFormat="1" applyFont="1"/>
    <xf numFmtId="164" fontId="0" fillId="0" borderId="0" xfId="2" applyFont="1"/>
    <xf numFmtId="9" fontId="0" fillId="0" borderId="0" xfId="0" applyNumberFormat="1"/>
    <xf numFmtId="166" fontId="0" fillId="0" borderId="0" xfId="2" applyNumberFormat="1" applyFont="1"/>
    <xf numFmtId="16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66" fontId="2" fillId="0" borderId="0" xfId="2" applyNumberFormat="1" applyFont="1"/>
    <xf numFmtId="166" fontId="2" fillId="0" borderId="0" xfId="0" applyNumberFormat="1" applyFont="1"/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0" xfId="0" applyFont="1" applyFill="1"/>
    <xf numFmtId="166" fontId="2" fillId="2" borderId="0" xfId="0" applyNumberFormat="1" applyFont="1" applyFill="1"/>
    <xf numFmtId="0" fontId="2" fillId="2" borderId="0" xfId="0" applyFont="1" applyFill="1" applyAlignment="1">
      <alignment horizontal="center"/>
    </xf>
  </cellXfs>
  <cellStyles count="5">
    <cellStyle name="Millares" xfId="1" builtinId="3"/>
    <cellStyle name="Moneda" xfId="2" builtinId="4"/>
    <cellStyle name="Moneda 2" xfId="4" xr:uid="{00000000-0005-0000-0000-000002000000}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0"/>
  <sheetViews>
    <sheetView tabSelected="1" workbookViewId="0">
      <pane xSplit="1" ySplit="1" topLeftCell="B68" activePane="bottomRight" state="frozen"/>
      <selection pane="topRight" activeCell="B1" sqref="B1"/>
      <selection pane="bottomLeft" activeCell="A2" sqref="A2"/>
      <selection pane="bottomRight" activeCell="A116" sqref="A116"/>
    </sheetView>
  </sheetViews>
  <sheetFormatPr baseColWidth="10" defaultColWidth="10.7109375" defaultRowHeight="15" x14ac:dyDescent="0.25"/>
  <cols>
    <col min="1" max="1" width="29.42578125" customWidth="1"/>
    <col min="2" max="2" width="16.28515625" bestFit="1" customWidth="1"/>
    <col min="3" max="3" width="17.85546875" bestFit="1" customWidth="1"/>
    <col min="4" max="4" width="16.42578125" bestFit="1" customWidth="1"/>
    <col min="5" max="12" width="15.140625" bestFit="1" customWidth="1"/>
  </cols>
  <sheetData>
    <row r="1" spans="1:12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2" x14ac:dyDescent="0.25"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</row>
    <row r="4" spans="1:12" x14ac:dyDescent="0.25">
      <c r="A4" t="s">
        <v>2</v>
      </c>
      <c r="C4" s="2">
        <v>3.4000000000000002E-2</v>
      </c>
      <c r="D4" s="2">
        <v>3.2000000000000001E-2</v>
      </c>
      <c r="E4" s="2">
        <v>3.2500000000000001E-2</v>
      </c>
      <c r="F4" s="2">
        <v>3.09E-2</v>
      </c>
      <c r="G4" s="2">
        <v>0.03</v>
      </c>
      <c r="H4" s="2">
        <f>+G4</f>
        <v>0.03</v>
      </c>
      <c r="I4" s="2">
        <f t="shared" ref="I4:L5" si="0">+H4</f>
        <v>0.03</v>
      </c>
      <c r="J4" s="2">
        <f t="shared" si="0"/>
        <v>0.03</v>
      </c>
      <c r="K4" s="2">
        <f t="shared" si="0"/>
        <v>0.03</v>
      </c>
      <c r="L4" s="2">
        <f t="shared" si="0"/>
        <v>0.03</v>
      </c>
    </row>
    <row r="5" spans="1:12" x14ac:dyDescent="0.25">
      <c r="A5" t="s">
        <v>3</v>
      </c>
      <c r="C5" s="2">
        <v>3.2000000000000001E-2</v>
      </c>
      <c r="D5" s="2">
        <v>3.4000000000000002E-2</v>
      </c>
      <c r="E5" s="2">
        <v>3.1E-2</v>
      </c>
      <c r="F5" s="2">
        <v>3.3000000000000002E-2</v>
      </c>
      <c r="G5" s="2">
        <v>3.4000000000000002E-2</v>
      </c>
      <c r="H5" s="2">
        <f>+G5</f>
        <v>3.4000000000000002E-2</v>
      </c>
      <c r="I5" s="2">
        <f t="shared" si="0"/>
        <v>3.4000000000000002E-2</v>
      </c>
      <c r="J5" s="2">
        <f t="shared" si="0"/>
        <v>3.4000000000000002E-2</v>
      </c>
      <c r="K5" s="2">
        <f t="shared" si="0"/>
        <v>3.4000000000000002E-2</v>
      </c>
      <c r="L5" s="2">
        <f t="shared" si="0"/>
        <v>3.4000000000000002E-2</v>
      </c>
    </row>
    <row r="7" spans="1:12" x14ac:dyDescent="0.25">
      <c r="A7" t="s">
        <v>0</v>
      </c>
      <c r="C7" s="3">
        <v>2000000</v>
      </c>
      <c r="D7" s="3">
        <f>+C7</f>
        <v>2000000</v>
      </c>
      <c r="E7" s="3">
        <f>+D7*(1+E5+3.5%)</f>
        <v>2131999.9999999995</v>
      </c>
      <c r="F7" s="3">
        <f t="shared" ref="F7:L7" si="1">+E7*(1+F5+3.5%)</f>
        <v>2276975.9999999991</v>
      </c>
      <c r="G7" s="3">
        <f t="shared" si="1"/>
        <v>2434087.3439999991</v>
      </c>
      <c r="H7" s="3">
        <f t="shared" si="1"/>
        <v>2602039.3707359987</v>
      </c>
      <c r="I7" s="3">
        <f t="shared" si="1"/>
        <v>2781580.0873167827</v>
      </c>
      <c r="J7" s="3">
        <f t="shared" si="1"/>
        <v>2973509.1133416407</v>
      </c>
      <c r="K7" s="3">
        <f t="shared" si="1"/>
        <v>3178681.2421622137</v>
      </c>
      <c r="L7" s="3">
        <f t="shared" si="1"/>
        <v>3398010.2478714064</v>
      </c>
    </row>
    <row r="8" spans="1:12" x14ac:dyDescent="0.25">
      <c r="A8" t="s">
        <v>1</v>
      </c>
      <c r="C8" s="4">
        <v>550</v>
      </c>
      <c r="D8" s="4">
        <f>+C8*(1+D4+1%)</f>
        <v>573.1</v>
      </c>
      <c r="E8" s="4">
        <f t="shared" ref="E8:L8" si="2">+D8*(1+E4+1%)</f>
        <v>597.45675000000006</v>
      </c>
      <c r="F8" s="4">
        <f t="shared" si="2"/>
        <v>621.89273107500003</v>
      </c>
      <c r="G8" s="4">
        <f t="shared" si="2"/>
        <v>646.7684403180001</v>
      </c>
      <c r="H8" s="4">
        <f t="shared" si="2"/>
        <v>672.63917793072017</v>
      </c>
      <c r="I8" s="4">
        <f t="shared" si="2"/>
        <v>699.54474504794905</v>
      </c>
      <c r="J8" s="4">
        <f t="shared" si="2"/>
        <v>727.52653484986706</v>
      </c>
      <c r="K8" s="4">
        <f t="shared" si="2"/>
        <v>756.62759624386172</v>
      </c>
      <c r="L8" s="4">
        <f t="shared" si="2"/>
        <v>786.89270009361621</v>
      </c>
    </row>
    <row r="9" spans="1:12" x14ac:dyDescent="0.25">
      <c r="A9" t="s">
        <v>4</v>
      </c>
      <c r="C9" s="5">
        <v>0.45</v>
      </c>
      <c r="D9" s="5">
        <v>0.45</v>
      </c>
      <c r="E9" s="5">
        <v>0.45</v>
      </c>
      <c r="F9" s="5">
        <v>0.5</v>
      </c>
      <c r="G9" s="5">
        <v>0.5</v>
      </c>
      <c r="H9" s="5">
        <v>0.5</v>
      </c>
      <c r="I9" s="5">
        <v>0.5</v>
      </c>
      <c r="J9" s="5">
        <v>0.55000000000000004</v>
      </c>
      <c r="K9" s="5">
        <v>0.55000000000000004</v>
      </c>
      <c r="L9" s="5">
        <v>0.55000000000000004</v>
      </c>
    </row>
    <row r="10" spans="1:12" x14ac:dyDescent="0.25">
      <c r="A10" t="s">
        <v>5</v>
      </c>
      <c r="C10" s="6">
        <f>1350000*1.19*12</f>
        <v>19278000</v>
      </c>
      <c r="D10" s="6">
        <f>+C10*(1+D4+5%)</f>
        <v>20858796</v>
      </c>
      <c r="E10" s="6">
        <f t="shared" ref="E10:L10" si="3">+D10*(1+E4+5%)</f>
        <v>22579646.670000002</v>
      </c>
      <c r="F10" s="6">
        <f t="shared" si="3"/>
        <v>24406340.085603002</v>
      </c>
      <c r="G10" s="6">
        <f t="shared" si="3"/>
        <v>26358847.292451244</v>
      </c>
      <c r="H10" s="6">
        <f t="shared" si="3"/>
        <v>28467555.075847346</v>
      </c>
      <c r="I10" s="6">
        <f t="shared" si="3"/>
        <v>30744959.481915135</v>
      </c>
      <c r="J10" s="6">
        <f t="shared" si="3"/>
        <v>33204556.240468349</v>
      </c>
      <c r="K10" s="6">
        <f t="shared" si="3"/>
        <v>35860920.739705816</v>
      </c>
      <c r="L10" s="6">
        <f t="shared" si="3"/>
        <v>38729794.398882285</v>
      </c>
    </row>
    <row r="11" spans="1:12" x14ac:dyDescent="0.25">
      <c r="A11" t="s">
        <v>6</v>
      </c>
      <c r="C11" s="7">
        <f>+C7*C8*13.5%</f>
        <v>148500000</v>
      </c>
      <c r="D11" s="6">
        <f>+C11*(1+D4+1%)</f>
        <v>154737000</v>
      </c>
      <c r="E11" s="6">
        <f t="shared" ref="E11:L11" si="4">+D11*(1+E4+1%)</f>
        <v>161313322.5</v>
      </c>
      <c r="F11" s="6">
        <f t="shared" si="4"/>
        <v>167911037.39025</v>
      </c>
      <c r="G11" s="6">
        <f t="shared" si="4"/>
        <v>174627478.88586</v>
      </c>
      <c r="H11" s="6">
        <f t="shared" si="4"/>
        <v>181612578.0412944</v>
      </c>
      <c r="I11" s="6">
        <f t="shared" si="4"/>
        <v>188877081.16294616</v>
      </c>
      <c r="J11" s="6">
        <f t="shared" si="4"/>
        <v>196432164.40946403</v>
      </c>
      <c r="K11" s="6">
        <f t="shared" si="4"/>
        <v>204289450.98584259</v>
      </c>
      <c r="L11" s="6">
        <f t="shared" si="4"/>
        <v>212461029.0252763</v>
      </c>
    </row>
    <row r="12" spans="1:12" x14ac:dyDescent="0.25">
      <c r="A12" t="s">
        <v>7</v>
      </c>
      <c r="C12" s="7">
        <f>+C7*C8*2%</f>
        <v>22000000</v>
      </c>
      <c r="D12" s="7">
        <f t="shared" ref="D12:L12" si="5">+D7*D8*2%</f>
        <v>22924000</v>
      </c>
      <c r="E12" s="7">
        <f t="shared" si="5"/>
        <v>25475555.819999997</v>
      </c>
      <c r="F12" s="7">
        <f t="shared" si="5"/>
        <v>28320696.464644577</v>
      </c>
      <c r="G12" s="7">
        <f t="shared" si="5"/>
        <v>31485817.501533255</v>
      </c>
      <c r="H12" s="7">
        <f t="shared" si="5"/>
        <v>35004672.465504616</v>
      </c>
      <c r="I12" s="7">
        <f t="shared" si="5"/>
        <v>38916794.660249412</v>
      </c>
      <c r="J12" s="7">
        <f t="shared" si="5"/>
        <v>43266135.631478891</v>
      </c>
      <c r="K12" s="7">
        <f t="shared" si="5"/>
        <v>48101558.94965297</v>
      </c>
      <c r="L12" s="7">
        <f t="shared" si="5"/>
        <v>53477389.177866183</v>
      </c>
    </row>
    <row r="13" spans="1:12" x14ac:dyDescent="0.25">
      <c r="A13" t="s">
        <v>8</v>
      </c>
      <c r="C13" s="7">
        <f>+C7*C8*1.5%</f>
        <v>16500000</v>
      </c>
      <c r="D13" s="7">
        <f t="shared" ref="D13:L13" si="6">+D7*D8*1.5%</f>
        <v>17193000</v>
      </c>
      <c r="E13" s="7">
        <f t="shared" si="6"/>
        <v>19106666.864999995</v>
      </c>
      <c r="F13" s="7">
        <f t="shared" si="6"/>
        <v>21240522.348483432</v>
      </c>
      <c r="G13" s="7">
        <f t="shared" si="6"/>
        <v>23614363.126149941</v>
      </c>
      <c r="H13" s="7">
        <f t="shared" si="6"/>
        <v>26253504.349128459</v>
      </c>
      <c r="I13" s="7">
        <f t="shared" si="6"/>
        <v>29187595.995187055</v>
      </c>
      <c r="J13" s="7">
        <f t="shared" si="6"/>
        <v>32449601.723609168</v>
      </c>
      <c r="K13" s="7">
        <f t="shared" si="6"/>
        <v>36076169.212239727</v>
      </c>
      <c r="L13" s="7">
        <f t="shared" si="6"/>
        <v>40108041.883399636</v>
      </c>
    </row>
    <row r="14" spans="1:12" x14ac:dyDescent="0.25">
      <c r="A14" t="s">
        <v>9</v>
      </c>
      <c r="C14" s="6">
        <f>+C8*C7*3%</f>
        <v>33000000</v>
      </c>
      <c r="D14" s="6">
        <f>+C14*1.015</f>
        <v>33494999.999999996</v>
      </c>
      <c r="E14" s="6">
        <f t="shared" ref="E14:L14" si="7">+D14*1.015</f>
        <v>33997424.999999993</v>
      </c>
      <c r="F14" s="6">
        <f t="shared" si="7"/>
        <v>34507386.374999993</v>
      </c>
      <c r="G14" s="6">
        <f t="shared" si="7"/>
        <v>35024997.170624986</v>
      </c>
      <c r="H14" s="6">
        <f t="shared" si="7"/>
        <v>35550372.128184356</v>
      </c>
      <c r="I14" s="6">
        <f t="shared" si="7"/>
        <v>36083627.710107118</v>
      </c>
      <c r="J14" s="6">
        <f t="shared" si="7"/>
        <v>36624882.125758722</v>
      </c>
      <c r="K14" s="6">
        <f t="shared" si="7"/>
        <v>37174255.357645102</v>
      </c>
      <c r="L14" s="6">
        <f t="shared" si="7"/>
        <v>37731869.188009776</v>
      </c>
    </row>
    <row r="15" spans="1:12" x14ac:dyDescent="0.25">
      <c r="A15" t="s">
        <v>10</v>
      </c>
      <c r="C15" s="6">
        <f>2000000*12</f>
        <v>24000000</v>
      </c>
      <c r="D15" s="6">
        <f>+C15*(1+D4)</f>
        <v>24768000</v>
      </c>
      <c r="E15" s="6">
        <f t="shared" ref="E15:L15" si="8">+D15*(1+E4)</f>
        <v>25572960</v>
      </c>
      <c r="F15" s="6">
        <f t="shared" si="8"/>
        <v>26363164.463999998</v>
      </c>
      <c r="G15" s="6">
        <f t="shared" si="8"/>
        <v>27154059.397919998</v>
      </c>
      <c r="H15" s="6">
        <f t="shared" si="8"/>
        <v>27968681.179857597</v>
      </c>
      <c r="I15" s="6">
        <f t="shared" si="8"/>
        <v>28807741.615253326</v>
      </c>
      <c r="J15" s="6">
        <f t="shared" si="8"/>
        <v>29671973.863710925</v>
      </c>
      <c r="K15" s="6">
        <f t="shared" si="8"/>
        <v>30562133.079622254</v>
      </c>
      <c r="L15" s="6">
        <f t="shared" si="8"/>
        <v>31478997.072010923</v>
      </c>
    </row>
    <row r="16" spans="1:12" x14ac:dyDescent="0.25">
      <c r="A16" t="s">
        <v>11</v>
      </c>
      <c r="C16" s="7">
        <f>+C7*C8*0.5%</f>
        <v>5500000</v>
      </c>
      <c r="D16" s="7">
        <f t="shared" ref="D16:L16" si="9">+D7*D8*0.5%</f>
        <v>5731000</v>
      </c>
      <c r="E16" s="7">
        <f t="shared" si="9"/>
        <v>6368888.9549999991</v>
      </c>
      <c r="F16" s="7">
        <f t="shared" si="9"/>
        <v>7080174.1161611443</v>
      </c>
      <c r="G16" s="7">
        <f t="shared" si="9"/>
        <v>7871454.3753833137</v>
      </c>
      <c r="H16" s="7">
        <f t="shared" si="9"/>
        <v>8751168.1163761541</v>
      </c>
      <c r="I16" s="7">
        <f t="shared" si="9"/>
        <v>9729198.665062353</v>
      </c>
      <c r="J16" s="7">
        <f t="shared" si="9"/>
        <v>10816533.907869723</v>
      </c>
      <c r="K16" s="7">
        <f t="shared" si="9"/>
        <v>12025389.737413242</v>
      </c>
      <c r="L16" s="7">
        <f t="shared" si="9"/>
        <v>13369347.294466546</v>
      </c>
    </row>
    <row r="17" spans="1:12" x14ac:dyDescent="0.25">
      <c r="A17" t="s">
        <v>28</v>
      </c>
      <c r="C17" s="7">
        <f>(B39+B40+B41)/1000</f>
        <v>1156500</v>
      </c>
      <c r="D17" s="7">
        <f t="shared" ref="D17:L17" si="10">(C39+C40+C41)/1000</f>
        <v>1067571.4285714286</v>
      </c>
      <c r="E17" s="7">
        <f t="shared" si="10"/>
        <v>978642.85714285716</v>
      </c>
      <c r="F17" s="7">
        <f t="shared" si="10"/>
        <v>889714.28571428568</v>
      </c>
      <c r="G17" s="7">
        <f t="shared" si="10"/>
        <v>800785.71428571432</v>
      </c>
      <c r="H17" s="7">
        <f t="shared" si="10"/>
        <v>711857.14285714284</v>
      </c>
      <c r="I17" s="7">
        <f t="shared" si="10"/>
        <v>622928.57142857148</v>
      </c>
      <c r="J17" s="7">
        <f t="shared" si="10"/>
        <v>534000</v>
      </c>
      <c r="K17" s="7">
        <f t="shared" si="10"/>
        <v>456000</v>
      </c>
      <c r="L17" s="7">
        <f t="shared" si="10"/>
        <v>378000</v>
      </c>
    </row>
    <row r="18" spans="1:12" x14ac:dyDescent="0.25">
      <c r="A18" t="s">
        <v>29</v>
      </c>
      <c r="C18" s="7">
        <f>+C7*C8*0.4%</f>
        <v>4400000</v>
      </c>
      <c r="D18" s="7">
        <f t="shared" ref="D18:L18" si="11">+D7*D8*0.4%</f>
        <v>4584800</v>
      </c>
      <c r="E18" s="7">
        <f t="shared" si="11"/>
        <v>5095111.1639999989</v>
      </c>
      <c r="F18" s="7">
        <f t="shared" si="11"/>
        <v>5664139.2929289155</v>
      </c>
      <c r="G18" s="7">
        <f t="shared" si="11"/>
        <v>6297163.500306651</v>
      </c>
      <c r="H18" s="7">
        <f t="shared" si="11"/>
        <v>7000934.4931009226</v>
      </c>
      <c r="I18" s="7">
        <f t="shared" si="11"/>
        <v>7783358.9320498817</v>
      </c>
      <c r="J18" s="7">
        <f t="shared" si="11"/>
        <v>8653227.1262957789</v>
      </c>
      <c r="K18" s="7">
        <f t="shared" si="11"/>
        <v>9620311.7899305932</v>
      </c>
      <c r="L18" s="7">
        <f t="shared" si="11"/>
        <v>10695477.835573237</v>
      </c>
    </row>
    <row r="21" spans="1:12" x14ac:dyDescent="0.25">
      <c r="A21" s="8" t="s">
        <v>12</v>
      </c>
    </row>
    <row r="22" spans="1:12" x14ac:dyDescent="0.25">
      <c r="B22" s="9" t="s">
        <v>22</v>
      </c>
      <c r="C22" s="9" t="s">
        <v>23</v>
      </c>
    </row>
    <row r="23" spans="1:12" x14ac:dyDescent="0.25">
      <c r="A23" s="8" t="s">
        <v>17</v>
      </c>
    </row>
    <row r="24" spans="1:12" x14ac:dyDescent="0.25">
      <c r="A24" t="s">
        <v>13</v>
      </c>
      <c r="B24" s="6">
        <v>250000000</v>
      </c>
      <c r="C24">
        <v>0</v>
      </c>
    </row>
    <row r="25" spans="1:12" x14ac:dyDescent="0.25">
      <c r="A25" t="s">
        <v>14</v>
      </c>
      <c r="B25" s="6">
        <v>600000000</v>
      </c>
      <c r="C25">
        <v>20</v>
      </c>
    </row>
    <row r="26" spans="1:12" x14ac:dyDescent="0.25">
      <c r="A26" t="s">
        <v>15</v>
      </c>
      <c r="B26" s="6">
        <v>480000000</v>
      </c>
      <c r="C26">
        <v>10</v>
      </c>
    </row>
    <row r="27" spans="1:12" x14ac:dyDescent="0.25">
      <c r="A27" t="s">
        <v>16</v>
      </c>
      <c r="B27" s="6">
        <v>76500000</v>
      </c>
      <c r="C27">
        <v>7</v>
      </c>
    </row>
    <row r="28" spans="1:12" x14ac:dyDescent="0.25">
      <c r="B28" s="10">
        <f>SUM(B24:B27)</f>
        <v>1406500000</v>
      </c>
    </row>
    <row r="29" spans="1:12" x14ac:dyDescent="0.25">
      <c r="B29" s="6"/>
    </row>
    <row r="30" spans="1:12" x14ac:dyDescent="0.25">
      <c r="A30" s="8" t="s">
        <v>18</v>
      </c>
      <c r="B30" s="6"/>
    </row>
    <row r="31" spans="1:12" x14ac:dyDescent="0.25">
      <c r="A31" t="s">
        <v>19</v>
      </c>
      <c r="B31" s="6">
        <v>120000000</v>
      </c>
      <c r="C31">
        <v>5</v>
      </c>
    </row>
    <row r="32" spans="1:12" x14ac:dyDescent="0.25">
      <c r="A32" t="s">
        <v>20</v>
      </c>
      <c r="B32" s="6">
        <v>350000000</v>
      </c>
      <c r="C32">
        <v>10</v>
      </c>
    </row>
    <row r="33" spans="1:12" x14ac:dyDescent="0.25">
      <c r="A33" t="s">
        <v>21</v>
      </c>
      <c r="B33" s="6">
        <v>125000000</v>
      </c>
      <c r="C33">
        <v>5</v>
      </c>
    </row>
    <row r="34" spans="1:12" x14ac:dyDescent="0.25">
      <c r="B34" s="10">
        <f>SUM(B31:B33)</f>
        <v>595000000</v>
      </c>
    </row>
    <row r="36" spans="1:12" x14ac:dyDescent="0.25">
      <c r="A36" s="8" t="s">
        <v>24</v>
      </c>
      <c r="B36" s="11">
        <f>+B34+B28</f>
        <v>2001500000</v>
      </c>
    </row>
    <row r="38" spans="1:12" x14ac:dyDescent="0.25">
      <c r="A38" t="s">
        <v>13</v>
      </c>
      <c r="B38" s="7">
        <f>+B24</f>
        <v>250000000</v>
      </c>
      <c r="C38" s="7">
        <f>+B38</f>
        <v>250000000</v>
      </c>
      <c r="D38" s="7">
        <f t="shared" ref="D38:L38" si="12">+C38</f>
        <v>250000000</v>
      </c>
      <c r="E38" s="7">
        <f t="shared" si="12"/>
        <v>250000000</v>
      </c>
      <c r="F38" s="7">
        <f t="shared" si="12"/>
        <v>250000000</v>
      </c>
      <c r="G38" s="7">
        <f t="shared" si="12"/>
        <v>250000000</v>
      </c>
      <c r="H38" s="7">
        <f t="shared" si="12"/>
        <v>250000000</v>
      </c>
      <c r="I38" s="7">
        <f t="shared" si="12"/>
        <v>250000000</v>
      </c>
      <c r="J38" s="7">
        <f t="shared" si="12"/>
        <v>250000000</v>
      </c>
      <c r="K38" s="7">
        <f t="shared" si="12"/>
        <v>250000000</v>
      </c>
      <c r="L38" s="7">
        <f t="shared" si="12"/>
        <v>250000000</v>
      </c>
    </row>
    <row r="39" spans="1:12" x14ac:dyDescent="0.25">
      <c r="A39" t="s">
        <v>14</v>
      </c>
      <c r="B39" s="7">
        <f>+B25</f>
        <v>600000000</v>
      </c>
      <c r="C39" s="7">
        <f>+$B$39-C50</f>
        <v>570000000</v>
      </c>
      <c r="D39" s="7">
        <f t="shared" ref="D39:L39" si="13">+$B$39-D50</f>
        <v>540000000</v>
      </c>
      <c r="E39" s="7">
        <f t="shared" si="13"/>
        <v>510000000</v>
      </c>
      <c r="F39" s="7">
        <f t="shared" si="13"/>
        <v>480000000</v>
      </c>
      <c r="G39" s="7">
        <f t="shared" si="13"/>
        <v>450000000</v>
      </c>
      <c r="H39" s="7">
        <f t="shared" si="13"/>
        <v>420000000</v>
      </c>
      <c r="I39" s="7">
        <f t="shared" si="13"/>
        <v>390000000</v>
      </c>
      <c r="J39" s="7">
        <f t="shared" si="13"/>
        <v>360000000</v>
      </c>
      <c r="K39" s="7">
        <f t="shared" si="13"/>
        <v>330000000</v>
      </c>
      <c r="L39" s="7">
        <f t="shared" si="13"/>
        <v>300000000</v>
      </c>
    </row>
    <row r="40" spans="1:12" x14ac:dyDescent="0.25">
      <c r="A40" t="s">
        <v>15</v>
      </c>
      <c r="B40" s="7">
        <f>+B26</f>
        <v>480000000</v>
      </c>
      <c r="C40" s="7">
        <f>+$B$40-C51</f>
        <v>432000000</v>
      </c>
      <c r="D40" s="7">
        <f t="shared" ref="D40:L40" si="14">+$B$40-D51</f>
        <v>384000000</v>
      </c>
      <c r="E40" s="7">
        <f t="shared" si="14"/>
        <v>336000000</v>
      </c>
      <c r="F40" s="7">
        <f t="shared" si="14"/>
        <v>288000000</v>
      </c>
      <c r="G40" s="7">
        <f t="shared" si="14"/>
        <v>240000000</v>
      </c>
      <c r="H40" s="7">
        <f t="shared" si="14"/>
        <v>192000000</v>
      </c>
      <c r="I40" s="7">
        <f t="shared" si="14"/>
        <v>144000000</v>
      </c>
      <c r="J40" s="7">
        <f t="shared" si="14"/>
        <v>96000000</v>
      </c>
      <c r="K40" s="7">
        <f t="shared" si="14"/>
        <v>48000000</v>
      </c>
      <c r="L40" s="7">
        <f t="shared" si="14"/>
        <v>0</v>
      </c>
    </row>
    <row r="41" spans="1:12" x14ac:dyDescent="0.25">
      <c r="A41" t="s">
        <v>16</v>
      </c>
      <c r="B41" s="7">
        <f>+B27</f>
        <v>76500000</v>
      </c>
      <c r="C41" s="7">
        <f t="shared" ref="C41:I41" si="15">+$B$41-C52</f>
        <v>65571428.571428567</v>
      </c>
      <c r="D41" s="7">
        <f t="shared" si="15"/>
        <v>54642857.142857142</v>
      </c>
      <c r="E41" s="7">
        <f t="shared" si="15"/>
        <v>43714285.714285716</v>
      </c>
      <c r="F41" s="7">
        <f t="shared" si="15"/>
        <v>32785714.285714284</v>
      </c>
      <c r="G41" s="7">
        <f t="shared" si="15"/>
        <v>21857142.857142851</v>
      </c>
      <c r="H41" s="7">
        <f t="shared" si="15"/>
        <v>10928571.428571425</v>
      </c>
      <c r="I41" s="7">
        <f t="shared" si="15"/>
        <v>0</v>
      </c>
      <c r="J41" s="7"/>
      <c r="K41" s="7"/>
      <c r="L41" s="7"/>
    </row>
    <row r="42" spans="1:12" x14ac:dyDescent="0.25">
      <c r="A42" s="8" t="s">
        <v>25</v>
      </c>
      <c r="B42" s="11">
        <f>SUM(B38:B41)</f>
        <v>1406500000</v>
      </c>
      <c r="C42" s="11">
        <f>SUM(C38:C41)</f>
        <v>1317571428.5714285</v>
      </c>
      <c r="D42" s="11">
        <f t="shared" ref="D42:L42" si="16">SUM(D38:D41)</f>
        <v>1228642857.1428571</v>
      </c>
      <c r="E42" s="11">
        <f t="shared" si="16"/>
        <v>1139714285.7142856</v>
      </c>
      <c r="F42" s="11">
        <f t="shared" si="16"/>
        <v>1050785714.2857143</v>
      </c>
      <c r="G42" s="11">
        <f t="shared" si="16"/>
        <v>961857142.85714281</v>
      </c>
      <c r="H42" s="11">
        <f t="shared" si="16"/>
        <v>872928571.42857146</v>
      </c>
      <c r="I42" s="11">
        <f t="shared" si="16"/>
        <v>784000000</v>
      </c>
      <c r="J42" s="11">
        <f t="shared" si="16"/>
        <v>706000000</v>
      </c>
      <c r="K42" s="11">
        <f t="shared" si="16"/>
        <v>628000000</v>
      </c>
      <c r="L42" s="11">
        <f t="shared" si="16"/>
        <v>550000000</v>
      </c>
    </row>
    <row r="44" spans="1:12" x14ac:dyDescent="0.25">
      <c r="A44" t="s">
        <v>14</v>
      </c>
      <c r="B44" s="6">
        <f>+B39/C25</f>
        <v>30000000</v>
      </c>
    </row>
    <row r="45" spans="1:12" x14ac:dyDescent="0.25">
      <c r="A45" t="s">
        <v>15</v>
      </c>
      <c r="B45" s="6">
        <f>+B40/C26</f>
        <v>48000000</v>
      </c>
    </row>
    <row r="46" spans="1:12" x14ac:dyDescent="0.25">
      <c r="A46" t="s">
        <v>16</v>
      </c>
      <c r="B46" s="6">
        <f>+B41/C27</f>
        <v>10928571.428571429</v>
      </c>
    </row>
    <row r="47" spans="1:12" x14ac:dyDescent="0.25">
      <c r="A47" s="8" t="s">
        <v>26</v>
      </c>
      <c r="B47" s="11">
        <f>SUM(B44:B46)</f>
        <v>88928571.428571433</v>
      </c>
    </row>
    <row r="49" spans="1:12" x14ac:dyDescent="0.25">
      <c r="A49" s="8" t="s">
        <v>27</v>
      </c>
    </row>
    <row r="50" spans="1:12" x14ac:dyDescent="0.25">
      <c r="A50" t="s">
        <v>14</v>
      </c>
      <c r="C50" s="6">
        <f t="shared" ref="C50:L50" si="17">+$B$44*C$1</f>
        <v>30000000</v>
      </c>
      <c r="D50" s="6">
        <f t="shared" si="17"/>
        <v>60000000</v>
      </c>
      <c r="E50" s="6">
        <f t="shared" si="17"/>
        <v>90000000</v>
      </c>
      <c r="F50" s="6">
        <f t="shared" si="17"/>
        <v>120000000</v>
      </c>
      <c r="G50" s="6">
        <f t="shared" si="17"/>
        <v>150000000</v>
      </c>
      <c r="H50" s="6">
        <f t="shared" si="17"/>
        <v>180000000</v>
      </c>
      <c r="I50" s="6">
        <f t="shared" si="17"/>
        <v>210000000</v>
      </c>
      <c r="J50" s="6">
        <f t="shared" si="17"/>
        <v>240000000</v>
      </c>
      <c r="K50" s="6">
        <f t="shared" si="17"/>
        <v>270000000</v>
      </c>
      <c r="L50" s="6">
        <f t="shared" si="17"/>
        <v>300000000</v>
      </c>
    </row>
    <row r="51" spans="1:12" x14ac:dyDescent="0.25">
      <c r="A51" t="s">
        <v>15</v>
      </c>
      <c r="C51" s="6">
        <f t="shared" ref="C51:L51" si="18">+$B$45*C$1</f>
        <v>48000000</v>
      </c>
      <c r="D51" s="6">
        <f t="shared" si="18"/>
        <v>96000000</v>
      </c>
      <c r="E51" s="6">
        <f t="shared" si="18"/>
        <v>144000000</v>
      </c>
      <c r="F51" s="6">
        <f t="shared" si="18"/>
        <v>192000000</v>
      </c>
      <c r="G51" s="6">
        <f t="shared" si="18"/>
        <v>240000000</v>
      </c>
      <c r="H51" s="6">
        <f t="shared" si="18"/>
        <v>288000000</v>
      </c>
      <c r="I51" s="6">
        <f t="shared" si="18"/>
        <v>336000000</v>
      </c>
      <c r="J51" s="6">
        <f t="shared" si="18"/>
        <v>384000000</v>
      </c>
      <c r="K51" s="6">
        <f t="shared" si="18"/>
        <v>432000000</v>
      </c>
      <c r="L51" s="6">
        <f t="shared" si="18"/>
        <v>480000000</v>
      </c>
    </row>
    <row r="52" spans="1:12" x14ac:dyDescent="0.25">
      <c r="A52" t="s">
        <v>16</v>
      </c>
      <c r="C52" s="6">
        <f t="shared" ref="C52:I52" si="19">+$B$46*C$1</f>
        <v>10928571.428571429</v>
      </c>
      <c r="D52" s="6">
        <f t="shared" si="19"/>
        <v>21857142.857142858</v>
      </c>
      <c r="E52" s="6">
        <f t="shared" si="19"/>
        <v>32785714.285714287</v>
      </c>
      <c r="F52" s="6">
        <f t="shared" si="19"/>
        <v>43714285.714285716</v>
      </c>
      <c r="G52" s="6">
        <f t="shared" si="19"/>
        <v>54642857.142857149</v>
      </c>
      <c r="H52" s="6">
        <f t="shared" si="19"/>
        <v>65571428.571428575</v>
      </c>
      <c r="I52" s="6">
        <f t="shared" si="19"/>
        <v>76500000</v>
      </c>
      <c r="J52" s="6"/>
      <c r="K52" s="6"/>
      <c r="L52" s="6"/>
    </row>
    <row r="54" spans="1:12" x14ac:dyDescent="0.25">
      <c r="A54" s="8" t="s">
        <v>30</v>
      </c>
    </row>
    <row r="55" spans="1:12" x14ac:dyDescent="0.25">
      <c r="A55" t="str">
        <f>+A31</f>
        <v>Software</v>
      </c>
      <c r="C55" s="6">
        <f>+B31/C31</f>
        <v>24000000</v>
      </c>
      <c r="D55" s="7">
        <f>+C55</f>
        <v>24000000</v>
      </c>
      <c r="E55" s="7">
        <f t="shared" ref="E55:G55" si="20">+D55</f>
        <v>24000000</v>
      </c>
      <c r="F55" s="7">
        <f t="shared" si="20"/>
        <v>24000000</v>
      </c>
      <c r="G55" s="7">
        <f t="shared" si="20"/>
        <v>24000000</v>
      </c>
    </row>
    <row r="56" spans="1:12" x14ac:dyDescent="0.25">
      <c r="A56" t="str">
        <f t="shared" ref="A56:A57" si="21">+A32</f>
        <v>Patentes</v>
      </c>
      <c r="C56" s="6">
        <f t="shared" ref="C56:C57" si="22">+B32/C32</f>
        <v>35000000</v>
      </c>
      <c r="D56" s="7">
        <f t="shared" ref="D56:G57" si="23">+C56</f>
        <v>35000000</v>
      </c>
      <c r="E56" s="7">
        <f t="shared" si="23"/>
        <v>35000000</v>
      </c>
      <c r="F56" s="7">
        <f t="shared" si="23"/>
        <v>35000000</v>
      </c>
      <c r="G56" s="7">
        <f t="shared" si="23"/>
        <v>35000000</v>
      </c>
      <c r="H56" s="7">
        <f>+G56</f>
        <v>35000000</v>
      </c>
      <c r="I56" s="7">
        <f t="shared" ref="I56:L56" si="24">+H56</f>
        <v>35000000</v>
      </c>
      <c r="J56" s="7">
        <f t="shared" si="24"/>
        <v>35000000</v>
      </c>
      <c r="K56" s="7">
        <f t="shared" si="24"/>
        <v>35000000</v>
      </c>
      <c r="L56" s="7">
        <f t="shared" si="24"/>
        <v>35000000</v>
      </c>
    </row>
    <row r="57" spans="1:12" x14ac:dyDescent="0.25">
      <c r="A57" t="str">
        <f t="shared" si="21"/>
        <v>Estudios previos</v>
      </c>
      <c r="C57" s="6">
        <f t="shared" si="22"/>
        <v>25000000</v>
      </c>
      <c r="D57" s="7">
        <f t="shared" si="23"/>
        <v>25000000</v>
      </c>
      <c r="E57" s="7">
        <f t="shared" si="23"/>
        <v>25000000</v>
      </c>
      <c r="F57" s="7">
        <f t="shared" si="23"/>
        <v>25000000</v>
      </c>
      <c r="G57" s="7">
        <f t="shared" si="23"/>
        <v>25000000</v>
      </c>
    </row>
    <row r="58" spans="1:12" x14ac:dyDescent="0.25">
      <c r="C58" s="11">
        <f>SUM(C55:C57)</f>
        <v>84000000</v>
      </c>
      <c r="D58" s="11">
        <f t="shared" ref="D58:L58" si="25">SUM(D55:D57)</f>
        <v>84000000</v>
      </c>
      <c r="E58" s="11">
        <f t="shared" si="25"/>
        <v>84000000</v>
      </c>
      <c r="F58" s="11">
        <f t="shared" si="25"/>
        <v>84000000</v>
      </c>
      <c r="G58" s="11">
        <f t="shared" si="25"/>
        <v>84000000</v>
      </c>
      <c r="H58" s="11">
        <f t="shared" si="25"/>
        <v>35000000</v>
      </c>
      <c r="I58" s="11">
        <f t="shared" si="25"/>
        <v>35000000</v>
      </c>
      <c r="J58" s="11">
        <f t="shared" si="25"/>
        <v>35000000</v>
      </c>
      <c r="K58" s="11">
        <f t="shared" si="25"/>
        <v>35000000</v>
      </c>
      <c r="L58" s="11">
        <f t="shared" si="25"/>
        <v>35000000</v>
      </c>
    </row>
    <row r="60" spans="1:12" x14ac:dyDescent="0.25">
      <c r="A60" s="8" t="s">
        <v>31</v>
      </c>
      <c r="I60" s="6">
        <f>+B27*25%</f>
        <v>19125000</v>
      </c>
    </row>
    <row r="61" spans="1:12" x14ac:dyDescent="0.25">
      <c r="A61" s="8" t="s">
        <v>32</v>
      </c>
      <c r="I61" s="6">
        <f>+B27*1.12</f>
        <v>85680000.000000015</v>
      </c>
    </row>
    <row r="63" spans="1:12" x14ac:dyDescent="0.25">
      <c r="A63" t="s">
        <v>33</v>
      </c>
      <c r="B63" s="6">
        <f>+B36*30%</f>
        <v>600450000</v>
      </c>
    </row>
    <row r="64" spans="1:12" x14ac:dyDescent="0.25">
      <c r="A64" t="s">
        <v>34</v>
      </c>
      <c r="B64">
        <v>10</v>
      </c>
    </row>
    <row r="65" spans="1:14" x14ac:dyDescent="0.25">
      <c r="A65" t="s">
        <v>35</v>
      </c>
      <c r="B65" s="1">
        <v>0.13500000000000001</v>
      </c>
    </row>
    <row r="66" spans="1:14" x14ac:dyDescent="0.25">
      <c r="A66" t="s">
        <v>36</v>
      </c>
    </row>
    <row r="68" spans="1:14" x14ac:dyDescent="0.25">
      <c r="A68" t="s">
        <v>41</v>
      </c>
      <c r="B68" s="5">
        <v>0.34</v>
      </c>
    </row>
    <row r="70" spans="1:14" x14ac:dyDescent="0.25">
      <c r="A70" t="s">
        <v>37</v>
      </c>
      <c r="B70" s="7">
        <f>+B63</f>
        <v>600450000</v>
      </c>
      <c r="C70" s="7">
        <f>+B70-C73</f>
        <v>568633969.06478858</v>
      </c>
      <c r="D70" s="7">
        <f t="shared" ref="D70:L70" si="26">+C70-D73</f>
        <v>532522773.9533236</v>
      </c>
      <c r="E70" s="7">
        <f t="shared" si="26"/>
        <v>491536567.50181091</v>
      </c>
      <c r="F70" s="7">
        <f t="shared" si="26"/>
        <v>445017223.179344</v>
      </c>
      <c r="G70" s="7">
        <f t="shared" si="26"/>
        <v>392217767.37334406</v>
      </c>
      <c r="H70" s="7">
        <f t="shared" si="26"/>
        <v>332290385.03353411</v>
      </c>
      <c r="I70" s="7">
        <f t="shared" si="26"/>
        <v>264272806.07784981</v>
      </c>
      <c r="J70" s="7">
        <f t="shared" si="26"/>
        <v>187072853.96314812</v>
      </c>
      <c r="K70" s="7">
        <f t="shared" si="26"/>
        <v>99450908.312961712</v>
      </c>
      <c r="L70" s="7">
        <f t="shared" si="26"/>
        <v>1.3411045074462891E-7</v>
      </c>
    </row>
    <row r="71" spans="1:14" x14ac:dyDescent="0.25">
      <c r="A71" t="s">
        <v>38</v>
      </c>
      <c r="C71" s="6">
        <f>+B70*$B$65</f>
        <v>81060750</v>
      </c>
      <c r="D71" s="6">
        <f t="shared" ref="D71:L71" si="27">+C70*$B$65</f>
        <v>76765585.823746458</v>
      </c>
      <c r="E71" s="6">
        <f t="shared" si="27"/>
        <v>71890574.483698696</v>
      </c>
      <c r="F71" s="6">
        <f t="shared" si="27"/>
        <v>66357436.61274448</v>
      </c>
      <c r="G71" s="6">
        <f t="shared" si="27"/>
        <v>60077325.129211441</v>
      </c>
      <c r="H71" s="6">
        <f t="shared" si="27"/>
        <v>52949398.595401451</v>
      </c>
      <c r="I71" s="6">
        <f t="shared" si="27"/>
        <v>44859201.979527108</v>
      </c>
      <c r="J71" s="6">
        <f t="shared" si="27"/>
        <v>35676828.820509724</v>
      </c>
      <c r="K71" s="6">
        <f t="shared" si="27"/>
        <v>25254835.285024997</v>
      </c>
      <c r="L71" s="6">
        <f t="shared" si="27"/>
        <v>13425872.622249832</v>
      </c>
    </row>
    <row r="72" spans="1:14" x14ac:dyDescent="0.25">
      <c r="A72" t="s">
        <v>39</v>
      </c>
      <c r="C72" s="6">
        <f>-PMT($B$65,$B$64,$B$63)</f>
        <v>112876780.93521141</v>
      </c>
      <c r="D72" s="6">
        <f t="shared" ref="D72:L72" si="28">-PMT($B$65,$B$64,$B$63)</f>
        <v>112876780.93521141</v>
      </c>
      <c r="E72" s="6">
        <f t="shared" si="28"/>
        <v>112876780.93521141</v>
      </c>
      <c r="F72" s="6">
        <f t="shared" si="28"/>
        <v>112876780.93521141</v>
      </c>
      <c r="G72" s="6">
        <f t="shared" si="28"/>
        <v>112876780.93521141</v>
      </c>
      <c r="H72" s="6">
        <f t="shared" si="28"/>
        <v>112876780.93521141</v>
      </c>
      <c r="I72" s="6">
        <f t="shared" si="28"/>
        <v>112876780.93521141</v>
      </c>
      <c r="J72" s="6">
        <f t="shared" si="28"/>
        <v>112876780.93521141</v>
      </c>
      <c r="K72" s="6">
        <f t="shared" si="28"/>
        <v>112876780.93521141</v>
      </c>
      <c r="L72" s="6">
        <f t="shared" si="28"/>
        <v>112876780.93521141</v>
      </c>
    </row>
    <row r="73" spans="1:14" x14ac:dyDescent="0.25">
      <c r="A73" t="s">
        <v>40</v>
      </c>
      <c r="C73" s="7">
        <f>+C72-C71</f>
        <v>31816030.935211405</v>
      </c>
      <c r="D73" s="7">
        <f t="shared" ref="D73:L73" si="29">+D72-D71</f>
        <v>36111195.111464947</v>
      </c>
      <c r="E73" s="7">
        <f t="shared" si="29"/>
        <v>40986206.451512709</v>
      </c>
      <c r="F73" s="7">
        <f t="shared" si="29"/>
        <v>46519344.322466925</v>
      </c>
      <c r="G73" s="7">
        <f t="shared" si="29"/>
        <v>52799455.805999964</v>
      </c>
      <c r="H73" s="7">
        <f t="shared" si="29"/>
        <v>59927382.339809954</v>
      </c>
      <c r="I73" s="7">
        <f t="shared" si="29"/>
        <v>68017578.955684304</v>
      </c>
      <c r="J73" s="7">
        <f t="shared" si="29"/>
        <v>77199952.114701688</v>
      </c>
      <c r="K73" s="7">
        <f t="shared" si="29"/>
        <v>87621945.650186405</v>
      </c>
      <c r="L73" s="7">
        <f t="shared" si="29"/>
        <v>99450908.312961578</v>
      </c>
    </row>
    <row r="75" spans="1:14" s="12" customFormat="1" x14ac:dyDescent="0.25">
      <c r="A75" s="17" t="s">
        <v>43</v>
      </c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</row>
    <row r="77" spans="1:14" x14ac:dyDescent="0.25">
      <c r="A77" s="12" t="s">
        <v>44</v>
      </c>
      <c r="C77" s="6">
        <f>+C7*C8</f>
        <v>1100000000</v>
      </c>
      <c r="D77" s="6">
        <f t="shared" ref="D77:L77" si="30">+D7*D8</f>
        <v>1146200000</v>
      </c>
      <c r="E77" s="6">
        <f t="shared" si="30"/>
        <v>1273777790.9999998</v>
      </c>
      <c r="F77" s="6">
        <f t="shared" si="30"/>
        <v>1416034823.2322288</v>
      </c>
      <c r="G77" s="6">
        <f t="shared" si="30"/>
        <v>1574290875.0766628</v>
      </c>
      <c r="H77" s="6">
        <f t="shared" si="30"/>
        <v>1750233623.2752306</v>
      </c>
      <c r="I77" s="6">
        <f t="shared" si="30"/>
        <v>1945839733.0124705</v>
      </c>
      <c r="J77" s="6">
        <f t="shared" si="30"/>
        <v>2163306781.5739446</v>
      </c>
      <c r="K77" s="6">
        <f t="shared" si="30"/>
        <v>2405077947.4826484</v>
      </c>
      <c r="L77" s="6">
        <f t="shared" si="30"/>
        <v>2673869458.8933091</v>
      </c>
      <c r="M77" s="6"/>
      <c r="N77" s="6"/>
    </row>
    <row r="78" spans="1:14" x14ac:dyDescent="0.25">
      <c r="A78" s="12" t="s">
        <v>49</v>
      </c>
      <c r="C78" s="6">
        <f>+C77*(1-C9)</f>
        <v>605000000</v>
      </c>
      <c r="D78" s="6">
        <f t="shared" ref="D78:L78" si="31">+D77*(1-D9)</f>
        <v>630410000</v>
      </c>
      <c r="E78" s="6">
        <f t="shared" si="31"/>
        <v>700577785.04999995</v>
      </c>
      <c r="F78" s="6">
        <f t="shared" si="31"/>
        <v>708017411.61611438</v>
      </c>
      <c r="G78" s="6">
        <f t="shared" si="31"/>
        <v>787145437.53833139</v>
      </c>
      <c r="H78" s="6">
        <f t="shared" si="31"/>
        <v>875116811.63761532</v>
      </c>
      <c r="I78" s="6">
        <f t="shared" si="31"/>
        <v>972919866.50623524</v>
      </c>
      <c r="J78" s="6">
        <f t="shared" si="31"/>
        <v>973488051.70827496</v>
      </c>
      <c r="K78" s="6">
        <f t="shared" si="31"/>
        <v>1082285076.3671916</v>
      </c>
      <c r="L78" s="6">
        <f t="shared" si="31"/>
        <v>1203241256.5019889</v>
      </c>
      <c r="M78" s="6"/>
      <c r="N78" s="6"/>
    </row>
    <row r="79" spans="1:14" s="13" customFormat="1" x14ac:dyDescent="0.25">
      <c r="A79" s="13" t="s">
        <v>48</v>
      </c>
      <c r="C79" s="10">
        <f>+C77-C78</f>
        <v>495000000</v>
      </c>
      <c r="D79" s="10">
        <f t="shared" ref="D79:L79" si="32">+D77-D78</f>
        <v>515790000</v>
      </c>
      <c r="E79" s="10">
        <f t="shared" si="32"/>
        <v>573200005.94999981</v>
      </c>
      <c r="F79" s="10">
        <f t="shared" si="32"/>
        <v>708017411.61611438</v>
      </c>
      <c r="G79" s="10">
        <f t="shared" si="32"/>
        <v>787145437.53833139</v>
      </c>
      <c r="H79" s="10">
        <f t="shared" si="32"/>
        <v>875116811.63761532</v>
      </c>
      <c r="I79" s="10">
        <f t="shared" si="32"/>
        <v>972919866.50623524</v>
      </c>
      <c r="J79" s="10">
        <f t="shared" si="32"/>
        <v>1189818729.8656697</v>
      </c>
      <c r="K79" s="10">
        <f t="shared" si="32"/>
        <v>1322792871.1154568</v>
      </c>
      <c r="L79" s="10">
        <f t="shared" si="32"/>
        <v>1470628202.3913202</v>
      </c>
      <c r="M79" s="10"/>
      <c r="N79" s="10"/>
    </row>
    <row r="80" spans="1:14" ht="15.75" x14ac:dyDescent="0.25">
      <c r="A80" s="14" t="str">
        <f>+A10</f>
        <v>Arriendo</v>
      </c>
      <c r="C80" s="6">
        <f>+C10</f>
        <v>19278000</v>
      </c>
      <c r="D80" s="6">
        <f t="shared" ref="D80:L80" si="33">+D10</f>
        <v>20858796</v>
      </c>
      <c r="E80" s="6">
        <f t="shared" si="33"/>
        <v>22579646.670000002</v>
      </c>
      <c r="F80" s="6">
        <f t="shared" si="33"/>
        <v>24406340.085603002</v>
      </c>
      <c r="G80" s="6">
        <f t="shared" si="33"/>
        <v>26358847.292451244</v>
      </c>
      <c r="H80" s="6">
        <f t="shared" si="33"/>
        <v>28467555.075847346</v>
      </c>
      <c r="I80" s="6">
        <f t="shared" si="33"/>
        <v>30744959.481915135</v>
      </c>
      <c r="J80" s="6">
        <f t="shared" si="33"/>
        <v>33204556.240468349</v>
      </c>
      <c r="K80" s="6">
        <f t="shared" si="33"/>
        <v>35860920.739705816</v>
      </c>
      <c r="L80" s="6">
        <f t="shared" si="33"/>
        <v>38729794.398882285</v>
      </c>
      <c r="M80" s="6"/>
      <c r="N80" s="6"/>
    </row>
    <row r="81" spans="1:14" ht="15.75" x14ac:dyDescent="0.25">
      <c r="A81" s="14" t="str">
        <f t="shared" ref="A81:A87" si="34">+A11</f>
        <v>Gastos de personal</v>
      </c>
      <c r="C81" s="6">
        <f t="shared" ref="C81:L87" si="35">+C11</f>
        <v>148500000</v>
      </c>
      <c r="D81" s="6">
        <f t="shared" si="35"/>
        <v>154737000</v>
      </c>
      <c r="E81" s="6">
        <f t="shared" si="35"/>
        <v>161313322.5</v>
      </c>
      <c r="F81" s="6">
        <f t="shared" si="35"/>
        <v>167911037.39025</v>
      </c>
      <c r="G81" s="6">
        <f t="shared" si="35"/>
        <v>174627478.88586</v>
      </c>
      <c r="H81" s="6">
        <f t="shared" si="35"/>
        <v>181612578.0412944</v>
      </c>
      <c r="I81" s="6">
        <f t="shared" si="35"/>
        <v>188877081.16294616</v>
      </c>
      <c r="J81" s="6">
        <f t="shared" si="35"/>
        <v>196432164.40946403</v>
      </c>
      <c r="K81" s="6">
        <f t="shared" si="35"/>
        <v>204289450.98584259</v>
      </c>
      <c r="L81" s="6">
        <f t="shared" si="35"/>
        <v>212461029.0252763</v>
      </c>
      <c r="M81" s="6"/>
      <c r="N81" s="6"/>
    </row>
    <row r="82" spans="1:14" ht="15.75" x14ac:dyDescent="0.25">
      <c r="A82" s="14" t="str">
        <f t="shared" si="34"/>
        <v>Gastos Variables</v>
      </c>
      <c r="C82" s="6">
        <f t="shared" si="35"/>
        <v>22000000</v>
      </c>
      <c r="D82" s="6">
        <f t="shared" si="35"/>
        <v>22924000</v>
      </c>
      <c r="E82" s="6">
        <f t="shared" si="35"/>
        <v>25475555.819999997</v>
      </c>
      <c r="F82" s="6">
        <f t="shared" si="35"/>
        <v>28320696.464644577</v>
      </c>
      <c r="G82" s="6">
        <f t="shared" si="35"/>
        <v>31485817.501533255</v>
      </c>
      <c r="H82" s="6">
        <f t="shared" si="35"/>
        <v>35004672.465504616</v>
      </c>
      <c r="I82" s="6">
        <f t="shared" si="35"/>
        <v>38916794.660249412</v>
      </c>
      <c r="J82" s="6">
        <f t="shared" si="35"/>
        <v>43266135.631478891</v>
      </c>
      <c r="K82" s="6">
        <f t="shared" si="35"/>
        <v>48101558.94965297</v>
      </c>
      <c r="L82" s="6">
        <f t="shared" si="35"/>
        <v>53477389.177866183</v>
      </c>
      <c r="M82" s="6"/>
      <c r="N82" s="6"/>
    </row>
    <row r="83" spans="1:14" ht="15.75" x14ac:dyDescent="0.25">
      <c r="A83" s="14" t="str">
        <f t="shared" si="34"/>
        <v>Servicios Publicos</v>
      </c>
      <c r="C83" s="6">
        <f t="shared" si="35"/>
        <v>16500000</v>
      </c>
      <c r="D83" s="6">
        <f t="shared" si="35"/>
        <v>17193000</v>
      </c>
      <c r="E83" s="6">
        <f t="shared" si="35"/>
        <v>19106666.864999995</v>
      </c>
      <c r="F83" s="6">
        <f t="shared" si="35"/>
        <v>21240522.348483432</v>
      </c>
      <c r="G83" s="6">
        <f t="shared" si="35"/>
        <v>23614363.126149941</v>
      </c>
      <c r="H83" s="6">
        <f t="shared" si="35"/>
        <v>26253504.349128459</v>
      </c>
      <c r="I83" s="6">
        <f t="shared" si="35"/>
        <v>29187595.995187055</v>
      </c>
      <c r="J83" s="6">
        <f t="shared" si="35"/>
        <v>32449601.723609168</v>
      </c>
      <c r="K83" s="6">
        <f t="shared" si="35"/>
        <v>36076169.212239727</v>
      </c>
      <c r="L83" s="6">
        <f t="shared" si="35"/>
        <v>40108041.883399636</v>
      </c>
      <c r="M83" s="6"/>
      <c r="N83" s="6"/>
    </row>
    <row r="84" spans="1:14" ht="15.75" x14ac:dyDescent="0.25">
      <c r="A84" s="14" t="str">
        <f t="shared" si="34"/>
        <v>Fletes</v>
      </c>
      <c r="C84" s="6">
        <f t="shared" si="35"/>
        <v>33000000</v>
      </c>
      <c r="D84" s="6">
        <f t="shared" si="35"/>
        <v>33494999.999999996</v>
      </c>
      <c r="E84" s="6">
        <f t="shared" si="35"/>
        <v>33997424.999999993</v>
      </c>
      <c r="F84" s="6">
        <f t="shared" si="35"/>
        <v>34507386.374999993</v>
      </c>
      <c r="G84" s="6">
        <f t="shared" si="35"/>
        <v>35024997.170624986</v>
      </c>
      <c r="H84" s="6">
        <f t="shared" si="35"/>
        <v>35550372.128184356</v>
      </c>
      <c r="I84" s="6">
        <f t="shared" si="35"/>
        <v>36083627.710107118</v>
      </c>
      <c r="J84" s="6">
        <f t="shared" si="35"/>
        <v>36624882.125758722</v>
      </c>
      <c r="K84" s="6">
        <f t="shared" si="35"/>
        <v>37174255.357645102</v>
      </c>
      <c r="L84" s="6">
        <f t="shared" si="35"/>
        <v>37731869.188009776</v>
      </c>
      <c r="M84" s="6"/>
      <c r="N84" s="6"/>
    </row>
    <row r="85" spans="1:14" ht="15.75" x14ac:dyDescent="0.25">
      <c r="A85" s="14" t="str">
        <f t="shared" si="34"/>
        <v>Honorarios</v>
      </c>
      <c r="C85" s="6">
        <f t="shared" si="35"/>
        <v>24000000</v>
      </c>
      <c r="D85" s="6">
        <f t="shared" si="35"/>
        <v>24768000</v>
      </c>
      <c r="E85" s="6">
        <f t="shared" si="35"/>
        <v>25572960</v>
      </c>
      <c r="F85" s="6">
        <f t="shared" si="35"/>
        <v>26363164.463999998</v>
      </c>
      <c r="G85" s="6">
        <f t="shared" si="35"/>
        <v>27154059.397919998</v>
      </c>
      <c r="H85" s="6">
        <f t="shared" si="35"/>
        <v>27968681.179857597</v>
      </c>
      <c r="I85" s="6">
        <f t="shared" si="35"/>
        <v>28807741.615253326</v>
      </c>
      <c r="J85" s="6">
        <f t="shared" si="35"/>
        <v>29671973.863710925</v>
      </c>
      <c r="K85" s="6">
        <f t="shared" si="35"/>
        <v>30562133.079622254</v>
      </c>
      <c r="L85" s="6">
        <f t="shared" si="35"/>
        <v>31478997.072010923</v>
      </c>
      <c r="M85" s="6"/>
      <c r="N85" s="6"/>
    </row>
    <row r="86" spans="1:14" ht="15.75" x14ac:dyDescent="0.25">
      <c r="A86" s="14" t="str">
        <f t="shared" si="34"/>
        <v>Aseo, cafeteria y otros</v>
      </c>
      <c r="C86" s="6">
        <f t="shared" si="35"/>
        <v>5500000</v>
      </c>
      <c r="D86" s="6">
        <f t="shared" si="35"/>
        <v>5731000</v>
      </c>
      <c r="E86" s="6">
        <f t="shared" si="35"/>
        <v>6368888.9549999991</v>
      </c>
      <c r="F86" s="6">
        <f t="shared" si="35"/>
        <v>7080174.1161611443</v>
      </c>
      <c r="G86" s="6">
        <f t="shared" si="35"/>
        <v>7871454.3753833137</v>
      </c>
      <c r="H86" s="6">
        <f t="shared" si="35"/>
        <v>8751168.1163761541</v>
      </c>
      <c r="I86" s="6">
        <f t="shared" si="35"/>
        <v>9729198.665062353</v>
      </c>
      <c r="J86" s="6">
        <f t="shared" si="35"/>
        <v>10816533.907869723</v>
      </c>
      <c r="K86" s="6">
        <f t="shared" si="35"/>
        <v>12025389.737413242</v>
      </c>
      <c r="L86" s="6">
        <f t="shared" si="35"/>
        <v>13369347.294466546</v>
      </c>
      <c r="M86" s="6"/>
      <c r="N86" s="6"/>
    </row>
    <row r="87" spans="1:14" ht="15.75" x14ac:dyDescent="0.25">
      <c r="A87" s="14" t="str">
        <f t="shared" si="34"/>
        <v>Seguros</v>
      </c>
      <c r="C87" s="6">
        <f t="shared" si="35"/>
        <v>1156500</v>
      </c>
      <c r="D87" s="6">
        <f t="shared" si="35"/>
        <v>1067571.4285714286</v>
      </c>
      <c r="E87" s="6">
        <f t="shared" si="35"/>
        <v>978642.85714285716</v>
      </c>
      <c r="F87" s="6">
        <f t="shared" si="35"/>
        <v>889714.28571428568</v>
      </c>
      <c r="G87" s="6">
        <f t="shared" si="35"/>
        <v>800785.71428571432</v>
      </c>
      <c r="H87" s="6">
        <f t="shared" si="35"/>
        <v>711857.14285714284</v>
      </c>
      <c r="I87" s="6">
        <f t="shared" si="35"/>
        <v>622928.57142857148</v>
      </c>
      <c r="J87" s="6">
        <f t="shared" si="35"/>
        <v>534000</v>
      </c>
      <c r="K87" s="6">
        <f t="shared" si="35"/>
        <v>456000</v>
      </c>
      <c r="L87" s="6">
        <f t="shared" si="35"/>
        <v>378000</v>
      </c>
      <c r="M87" s="6"/>
      <c r="N87" s="6"/>
    </row>
    <row r="88" spans="1:14" s="12" customFormat="1" ht="15.75" x14ac:dyDescent="0.25">
      <c r="A88" s="14" t="s">
        <v>45</v>
      </c>
      <c r="C88" s="6">
        <f>+$B$47</f>
        <v>88928571.428571433</v>
      </c>
      <c r="D88" s="6">
        <f t="shared" ref="D88:I88" si="36">+$B$47</f>
        <v>88928571.428571433</v>
      </c>
      <c r="E88" s="6">
        <f t="shared" si="36"/>
        <v>88928571.428571433</v>
      </c>
      <c r="F88" s="6">
        <f t="shared" si="36"/>
        <v>88928571.428571433</v>
      </c>
      <c r="G88" s="6">
        <f t="shared" si="36"/>
        <v>88928571.428571433</v>
      </c>
      <c r="H88" s="6">
        <f t="shared" si="36"/>
        <v>88928571.428571433</v>
      </c>
      <c r="I88" s="6">
        <f t="shared" si="36"/>
        <v>88928571.428571433</v>
      </c>
      <c r="J88" s="6">
        <f>B44+B45+I61/7</f>
        <v>90240000</v>
      </c>
      <c r="K88" s="6">
        <f>+J88</f>
        <v>90240000</v>
      </c>
      <c r="L88" s="6">
        <f t="shared" ref="L88" si="37">+K88</f>
        <v>90240000</v>
      </c>
      <c r="M88" s="6"/>
      <c r="N88" s="6"/>
    </row>
    <row r="89" spans="1:14" ht="15.75" x14ac:dyDescent="0.25">
      <c r="A89" s="14" t="s">
        <v>46</v>
      </c>
      <c r="C89" s="6">
        <f>+C58</f>
        <v>84000000</v>
      </c>
      <c r="D89" s="6">
        <f t="shared" ref="D89:L89" si="38">+D58</f>
        <v>84000000</v>
      </c>
      <c r="E89" s="6">
        <f t="shared" si="38"/>
        <v>84000000</v>
      </c>
      <c r="F89" s="6">
        <f t="shared" si="38"/>
        <v>84000000</v>
      </c>
      <c r="G89" s="6">
        <f t="shared" si="38"/>
        <v>84000000</v>
      </c>
      <c r="H89" s="6">
        <f t="shared" si="38"/>
        <v>35000000</v>
      </c>
      <c r="I89" s="6">
        <f t="shared" si="38"/>
        <v>35000000</v>
      </c>
      <c r="J89" s="6">
        <f t="shared" si="38"/>
        <v>35000000</v>
      </c>
      <c r="K89" s="6">
        <f t="shared" si="38"/>
        <v>35000000</v>
      </c>
      <c r="L89" s="6">
        <f t="shared" si="38"/>
        <v>35000000</v>
      </c>
      <c r="M89" s="6"/>
      <c r="N89" s="6"/>
    </row>
    <row r="90" spans="1:14" s="13" customFormat="1" x14ac:dyDescent="0.25">
      <c r="A90" s="13" t="s">
        <v>47</v>
      </c>
      <c r="C90" s="10">
        <f>+C79-SUM(C80:C89)</f>
        <v>52136928.571428537</v>
      </c>
      <c r="D90" s="10">
        <f>+D79-SUM(D80:D89)</f>
        <v>62087061.142857194</v>
      </c>
      <c r="E90" s="10">
        <f t="shared" ref="E90:L90" si="39">+E79-SUM(E80:E89)</f>
        <v>104878325.85428548</v>
      </c>
      <c r="F90" s="10">
        <f t="shared" si="39"/>
        <v>224369804.65768647</v>
      </c>
      <c r="G90" s="10">
        <f t="shared" si="39"/>
        <v>287279062.64555144</v>
      </c>
      <c r="H90" s="10">
        <f t="shared" si="39"/>
        <v>406867851.70999372</v>
      </c>
      <c r="I90" s="10">
        <f t="shared" si="39"/>
        <v>486021367.21551454</v>
      </c>
      <c r="J90" s="10">
        <f t="shared" si="39"/>
        <v>681578881.96331</v>
      </c>
      <c r="K90" s="10">
        <f t="shared" si="39"/>
        <v>793006993.05333519</v>
      </c>
      <c r="L90" s="10">
        <f t="shared" si="39"/>
        <v>917653734.35140848</v>
      </c>
      <c r="M90" s="10"/>
      <c r="N90" s="10"/>
    </row>
    <row r="91" spans="1:14" x14ac:dyDescent="0.25">
      <c r="A91" s="12" t="s">
        <v>51</v>
      </c>
      <c r="C91" s="6"/>
      <c r="D91" s="6"/>
      <c r="E91" s="6"/>
      <c r="F91" s="6"/>
      <c r="G91" s="6"/>
      <c r="H91" s="6"/>
      <c r="I91" s="6">
        <f>+I60</f>
        <v>19125000</v>
      </c>
      <c r="J91" s="6"/>
      <c r="K91" s="6"/>
      <c r="L91" s="6"/>
      <c r="M91" s="6"/>
      <c r="N91" s="6"/>
    </row>
    <row r="92" spans="1:14" x14ac:dyDescent="0.25">
      <c r="A92" s="12" t="s">
        <v>50</v>
      </c>
      <c r="C92" s="6"/>
      <c r="D92" s="6"/>
      <c r="E92" s="6"/>
      <c r="F92" s="6"/>
      <c r="G92" s="6"/>
      <c r="H92" s="6"/>
      <c r="I92" s="6">
        <f>+I41</f>
        <v>0</v>
      </c>
      <c r="J92" s="6"/>
      <c r="K92" s="6"/>
      <c r="L92" s="6"/>
      <c r="M92" s="6"/>
      <c r="N92" s="6"/>
    </row>
    <row r="93" spans="1:14" s="12" customFormat="1" x14ac:dyDescent="0.25">
      <c r="A93" s="12" t="s">
        <v>38</v>
      </c>
      <c r="C93" s="6">
        <f>+C71</f>
        <v>81060750</v>
      </c>
      <c r="D93" s="6">
        <f t="shared" ref="D93:L93" si="40">+D71</f>
        <v>76765585.823746458</v>
      </c>
      <c r="E93" s="6">
        <f t="shared" si="40"/>
        <v>71890574.483698696</v>
      </c>
      <c r="F93" s="6">
        <f t="shared" si="40"/>
        <v>66357436.61274448</v>
      </c>
      <c r="G93" s="6">
        <f t="shared" si="40"/>
        <v>60077325.129211441</v>
      </c>
      <c r="H93" s="6">
        <f t="shared" si="40"/>
        <v>52949398.595401451</v>
      </c>
      <c r="I93" s="6">
        <f t="shared" si="40"/>
        <v>44859201.979527108</v>
      </c>
      <c r="J93" s="6">
        <f t="shared" si="40"/>
        <v>35676828.820509724</v>
      </c>
      <c r="K93" s="6">
        <f t="shared" si="40"/>
        <v>25254835.285024997</v>
      </c>
      <c r="L93" s="6">
        <f t="shared" si="40"/>
        <v>13425872.622249832</v>
      </c>
      <c r="M93" s="6"/>
      <c r="N93" s="6"/>
    </row>
    <row r="94" spans="1:14" s="13" customFormat="1" x14ac:dyDescent="0.25">
      <c r="A94" s="13" t="s">
        <v>52</v>
      </c>
      <c r="C94" s="10">
        <f>+C90+C91-C92-C93</f>
        <v>-28923821.428571463</v>
      </c>
      <c r="D94" s="10">
        <f t="shared" ref="D94:L94" si="41">+D90+D91-D92-D93</f>
        <v>-14678524.680889264</v>
      </c>
      <c r="E94" s="10">
        <f t="shared" si="41"/>
        <v>32987751.370586783</v>
      </c>
      <c r="F94" s="10">
        <f t="shared" si="41"/>
        <v>158012368.04494199</v>
      </c>
      <c r="G94" s="10">
        <f t="shared" si="41"/>
        <v>227201737.51634002</v>
      </c>
      <c r="H94" s="10">
        <f t="shared" si="41"/>
        <v>353918453.11459225</v>
      </c>
      <c r="I94" s="10">
        <f t="shared" si="41"/>
        <v>460287165.23598742</v>
      </c>
      <c r="J94" s="10">
        <f t="shared" si="41"/>
        <v>645902053.14280033</v>
      </c>
      <c r="K94" s="10">
        <f t="shared" si="41"/>
        <v>767752157.76831019</v>
      </c>
      <c r="L94" s="10">
        <f t="shared" si="41"/>
        <v>904227861.72915864</v>
      </c>
      <c r="M94" s="10"/>
      <c r="N94" s="10"/>
    </row>
    <row r="95" spans="1:14" x14ac:dyDescent="0.25">
      <c r="A95" s="12" t="s">
        <v>54</v>
      </c>
      <c r="C95" s="6">
        <f>IF(C94*$B$68&lt;0,0,C94*$B$68)+C18</f>
        <v>4400000</v>
      </c>
      <c r="D95" s="6">
        <f t="shared" ref="D95:L95" si="42">IF(D94*$B$68&lt;0,0,D94*$B$68)+D18</f>
        <v>4584800</v>
      </c>
      <c r="E95" s="6">
        <f t="shared" si="42"/>
        <v>16310946.629999505</v>
      </c>
      <c r="F95" s="6">
        <f t="shared" si="42"/>
        <v>59388344.428209201</v>
      </c>
      <c r="G95" s="6">
        <f t="shared" si="42"/>
        <v>83545754.255862266</v>
      </c>
      <c r="H95" s="6">
        <f t="shared" si="42"/>
        <v>127333208.5520623</v>
      </c>
      <c r="I95" s="6">
        <f t="shared" si="42"/>
        <v>164280995.11228561</v>
      </c>
      <c r="J95" s="6">
        <f t="shared" si="42"/>
        <v>228259925.19484791</v>
      </c>
      <c r="K95" s="6">
        <f t="shared" si="42"/>
        <v>270656045.4311561</v>
      </c>
      <c r="L95" s="6">
        <f t="shared" si="42"/>
        <v>318132950.82348722</v>
      </c>
      <c r="M95" s="6"/>
      <c r="N95" s="6"/>
    </row>
    <row r="96" spans="1:14" s="13" customFormat="1" x14ac:dyDescent="0.25">
      <c r="A96" s="13" t="s">
        <v>53</v>
      </c>
      <c r="C96" s="10">
        <f>+C94-C95</f>
        <v>-33323821.428571463</v>
      </c>
      <c r="D96" s="10">
        <f t="shared" ref="D96:L96" si="43">+D94-D95</f>
        <v>-19263324.680889264</v>
      </c>
      <c r="E96" s="10">
        <f t="shared" si="43"/>
        <v>16676804.740587277</v>
      </c>
      <c r="F96" s="10">
        <f t="shared" si="43"/>
        <v>98624023.616732791</v>
      </c>
      <c r="G96" s="10">
        <f t="shared" si="43"/>
        <v>143655983.26047775</v>
      </c>
      <c r="H96" s="10">
        <f t="shared" si="43"/>
        <v>226585244.56252995</v>
      </c>
      <c r="I96" s="10">
        <f t="shared" si="43"/>
        <v>296006170.12370181</v>
      </c>
      <c r="J96" s="10">
        <f t="shared" si="43"/>
        <v>417642127.94795239</v>
      </c>
      <c r="K96" s="10">
        <f t="shared" si="43"/>
        <v>497096112.33715409</v>
      </c>
      <c r="L96" s="10">
        <f t="shared" si="43"/>
        <v>586094910.90567136</v>
      </c>
      <c r="M96" s="10"/>
      <c r="N96" s="10"/>
    </row>
    <row r="97" spans="1:14" x14ac:dyDescent="0.25"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</row>
    <row r="98" spans="1:14" x14ac:dyDescent="0.25"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</row>
    <row r="99" spans="1:14" x14ac:dyDescent="0.25">
      <c r="A99" s="17" t="s">
        <v>42</v>
      </c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6"/>
      <c r="N99" s="6"/>
    </row>
    <row r="100" spans="1:14" x14ac:dyDescent="0.25"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</row>
    <row r="101" spans="1:14" s="13" customFormat="1" x14ac:dyDescent="0.25">
      <c r="A101" s="13" t="str">
        <f>+A90</f>
        <v>UAII</v>
      </c>
      <c r="C101" s="10">
        <f>+C90</f>
        <v>52136928.571428537</v>
      </c>
      <c r="D101" s="10">
        <f t="shared" ref="D101:L101" si="44">+D90</f>
        <v>62087061.142857194</v>
      </c>
      <c r="E101" s="10">
        <f t="shared" si="44"/>
        <v>104878325.85428548</v>
      </c>
      <c r="F101" s="10">
        <f t="shared" si="44"/>
        <v>224369804.65768647</v>
      </c>
      <c r="G101" s="10">
        <f t="shared" si="44"/>
        <v>287279062.64555144</v>
      </c>
      <c r="H101" s="10">
        <f t="shared" si="44"/>
        <v>406867851.70999372</v>
      </c>
      <c r="I101" s="10">
        <f t="shared" si="44"/>
        <v>486021367.21551454</v>
      </c>
      <c r="J101" s="10">
        <f t="shared" si="44"/>
        <v>681578881.96331</v>
      </c>
      <c r="K101" s="10">
        <f t="shared" si="44"/>
        <v>793006993.05333519</v>
      </c>
      <c r="L101" s="10">
        <f t="shared" si="44"/>
        <v>917653734.35140848</v>
      </c>
      <c r="M101" s="10"/>
      <c r="N101" s="10"/>
    </row>
    <row r="102" spans="1:14" x14ac:dyDescent="0.25">
      <c r="A102" s="12" t="str">
        <f t="shared" ref="A102:A103" si="45">+A91</f>
        <v>Otros ingresos</v>
      </c>
      <c r="C102" s="6">
        <f t="shared" ref="C102:L103" si="46">+C91</f>
        <v>0</v>
      </c>
      <c r="D102" s="6">
        <f t="shared" si="46"/>
        <v>0</v>
      </c>
      <c r="E102" s="6">
        <f t="shared" si="46"/>
        <v>0</v>
      </c>
      <c r="F102" s="6">
        <f t="shared" si="46"/>
        <v>0</v>
      </c>
      <c r="G102" s="6">
        <f t="shared" si="46"/>
        <v>0</v>
      </c>
      <c r="H102" s="6">
        <f t="shared" si="46"/>
        <v>0</v>
      </c>
      <c r="I102" s="6">
        <f t="shared" si="46"/>
        <v>19125000</v>
      </c>
      <c r="J102" s="6">
        <f t="shared" si="46"/>
        <v>0</v>
      </c>
      <c r="K102" s="6">
        <f t="shared" si="46"/>
        <v>0</v>
      </c>
      <c r="L102" s="6">
        <f t="shared" si="46"/>
        <v>0</v>
      </c>
      <c r="M102" s="6"/>
      <c r="N102" s="6"/>
    </row>
    <row r="103" spans="1:14" x14ac:dyDescent="0.25">
      <c r="A103" s="12" t="str">
        <f t="shared" si="45"/>
        <v>Otros egresos</v>
      </c>
      <c r="C103" s="6">
        <f t="shared" si="46"/>
        <v>0</v>
      </c>
      <c r="D103" s="6">
        <f t="shared" si="46"/>
        <v>0</v>
      </c>
      <c r="E103" s="6">
        <f t="shared" si="46"/>
        <v>0</v>
      </c>
      <c r="F103" s="6">
        <f t="shared" si="46"/>
        <v>0</v>
      </c>
      <c r="G103" s="6">
        <f t="shared" si="46"/>
        <v>0</v>
      </c>
      <c r="H103" s="6">
        <f t="shared" si="46"/>
        <v>0</v>
      </c>
      <c r="I103" s="6">
        <f t="shared" si="46"/>
        <v>0</v>
      </c>
      <c r="J103" s="6">
        <f t="shared" si="46"/>
        <v>0</v>
      </c>
      <c r="K103" s="6">
        <f t="shared" si="46"/>
        <v>0</v>
      </c>
      <c r="L103" s="6">
        <f t="shared" si="46"/>
        <v>0</v>
      </c>
      <c r="M103" s="6"/>
      <c r="N103" s="6"/>
    </row>
    <row r="104" spans="1:14" s="13" customFormat="1" x14ac:dyDescent="0.25">
      <c r="A104" s="13" t="str">
        <f>+A94</f>
        <v xml:space="preserve">UAI </v>
      </c>
      <c r="C104" s="10">
        <f t="shared" ref="C104:D104" si="47">+C101+C102-C103</f>
        <v>52136928.571428537</v>
      </c>
      <c r="D104" s="10">
        <f t="shared" si="47"/>
        <v>62087061.142857194</v>
      </c>
      <c r="E104" s="10">
        <f>+E101+E102-E103</f>
        <v>104878325.85428548</v>
      </c>
      <c r="F104" s="10">
        <f t="shared" ref="F104:L104" si="48">+F101+F102-F103</f>
        <v>224369804.65768647</v>
      </c>
      <c r="G104" s="10">
        <f t="shared" si="48"/>
        <v>287279062.64555144</v>
      </c>
      <c r="H104" s="10">
        <f t="shared" si="48"/>
        <v>406867851.70999372</v>
      </c>
      <c r="I104" s="10">
        <f t="shared" si="48"/>
        <v>505146367.21551454</v>
      </c>
      <c r="J104" s="10">
        <f t="shared" si="48"/>
        <v>681578881.96331</v>
      </c>
      <c r="K104" s="10">
        <f t="shared" si="48"/>
        <v>793006993.05333519</v>
      </c>
      <c r="L104" s="10">
        <f t="shared" si="48"/>
        <v>917653734.35140848</v>
      </c>
      <c r="M104" s="10"/>
      <c r="N104" s="10"/>
    </row>
    <row r="105" spans="1:14" x14ac:dyDescent="0.25">
      <c r="A105" s="12" t="str">
        <f>+A95</f>
        <v>Impuestos</v>
      </c>
      <c r="C105" s="6">
        <f>IF(C104*$B$68&lt;0,0,C104*$B$68)+C18</f>
        <v>22126555.714285705</v>
      </c>
      <c r="D105" s="6">
        <f t="shared" ref="D105:L105" si="49">IF(D104*$B$68&lt;0,0,D104*$B$68)+D18</f>
        <v>25694400.788571447</v>
      </c>
      <c r="E105" s="6">
        <f t="shared" si="49"/>
        <v>40753741.95445706</v>
      </c>
      <c r="F105" s="6">
        <f t="shared" si="49"/>
        <v>81949872.87654233</v>
      </c>
      <c r="G105" s="6">
        <f t="shared" si="49"/>
        <v>103972044.79979415</v>
      </c>
      <c r="H105" s="6">
        <f t="shared" si="49"/>
        <v>145336004.07449877</v>
      </c>
      <c r="I105" s="6">
        <f t="shared" si="49"/>
        <v>179533123.78532481</v>
      </c>
      <c r="J105" s="6">
        <f t="shared" si="49"/>
        <v>240390046.9938212</v>
      </c>
      <c r="K105" s="6">
        <f t="shared" si="49"/>
        <v>279242689.42806458</v>
      </c>
      <c r="L105" s="6">
        <f t="shared" si="49"/>
        <v>322697747.51505214</v>
      </c>
      <c r="M105" s="6"/>
      <c r="N105" s="6"/>
    </row>
    <row r="106" spans="1:14" s="13" customFormat="1" x14ac:dyDescent="0.25">
      <c r="A106" s="13" t="str">
        <f>+A96</f>
        <v>UN</v>
      </c>
      <c r="C106" s="10">
        <f>+C104-C105</f>
        <v>30010372.857142832</v>
      </c>
      <c r="D106" s="10">
        <f t="shared" ref="D106:L106" si="50">+D104-D105</f>
        <v>36392660.354285747</v>
      </c>
      <c r="E106" s="10">
        <f t="shared" si="50"/>
        <v>64124583.899828419</v>
      </c>
      <c r="F106" s="10">
        <f t="shared" si="50"/>
        <v>142419931.78114414</v>
      </c>
      <c r="G106" s="10">
        <f t="shared" si="50"/>
        <v>183307017.84575731</v>
      </c>
      <c r="H106" s="10">
        <f t="shared" si="50"/>
        <v>261531847.63549495</v>
      </c>
      <c r="I106" s="10">
        <f t="shared" si="50"/>
        <v>325613243.43018973</v>
      </c>
      <c r="J106" s="10">
        <f t="shared" si="50"/>
        <v>441188834.9694888</v>
      </c>
      <c r="K106" s="10">
        <f t="shared" si="50"/>
        <v>513764303.62527061</v>
      </c>
      <c r="L106" s="10">
        <f t="shared" si="50"/>
        <v>594955986.8363564</v>
      </c>
      <c r="M106" s="10"/>
      <c r="N106" s="10"/>
    </row>
    <row r="107" spans="1:14" x14ac:dyDescent="0.25">
      <c r="A107" t="str">
        <f>+A88</f>
        <v>Depreciaciones</v>
      </c>
      <c r="C107" s="6">
        <f t="shared" ref="C107:L107" si="51">+C88</f>
        <v>88928571.428571433</v>
      </c>
      <c r="D107" s="6">
        <f t="shared" si="51"/>
        <v>88928571.428571433</v>
      </c>
      <c r="E107" s="6">
        <f t="shared" si="51"/>
        <v>88928571.428571433</v>
      </c>
      <c r="F107" s="6">
        <f t="shared" si="51"/>
        <v>88928571.428571433</v>
      </c>
      <c r="G107" s="6">
        <f t="shared" si="51"/>
        <v>88928571.428571433</v>
      </c>
      <c r="H107" s="6">
        <f t="shared" si="51"/>
        <v>88928571.428571433</v>
      </c>
      <c r="I107" s="6">
        <f t="shared" si="51"/>
        <v>88928571.428571433</v>
      </c>
      <c r="J107" s="6">
        <f t="shared" si="51"/>
        <v>90240000</v>
      </c>
      <c r="K107" s="6">
        <f t="shared" si="51"/>
        <v>90240000</v>
      </c>
      <c r="L107" s="6">
        <f t="shared" si="51"/>
        <v>90240000</v>
      </c>
      <c r="M107" s="6"/>
      <c r="N107" s="6"/>
    </row>
    <row r="108" spans="1:14" x14ac:dyDescent="0.25">
      <c r="A108" s="12" t="str">
        <f t="shared" ref="A108" si="52">+A89</f>
        <v>Amortizaciones</v>
      </c>
      <c r="C108" s="6">
        <f t="shared" ref="C108:L108" si="53">+C89</f>
        <v>84000000</v>
      </c>
      <c r="D108" s="6">
        <f t="shared" si="53"/>
        <v>84000000</v>
      </c>
      <c r="E108" s="6">
        <f t="shared" si="53"/>
        <v>84000000</v>
      </c>
      <c r="F108" s="6">
        <f t="shared" si="53"/>
        <v>84000000</v>
      </c>
      <c r="G108" s="6">
        <f t="shared" si="53"/>
        <v>84000000</v>
      </c>
      <c r="H108" s="6">
        <f t="shared" si="53"/>
        <v>35000000</v>
      </c>
      <c r="I108" s="6">
        <f t="shared" si="53"/>
        <v>35000000</v>
      </c>
      <c r="J108" s="6">
        <f t="shared" si="53"/>
        <v>35000000</v>
      </c>
      <c r="K108" s="6">
        <f t="shared" si="53"/>
        <v>35000000</v>
      </c>
      <c r="L108" s="6">
        <f t="shared" si="53"/>
        <v>35000000</v>
      </c>
      <c r="M108" s="6"/>
      <c r="N108" s="6"/>
    </row>
    <row r="109" spans="1:14" x14ac:dyDescent="0.25">
      <c r="A109" t="s">
        <v>55</v>
      </c>
      <c r="B109" s="7">
        <f>+B36</f>
        <v>2001500000</v>
      </c>
      <c r="C109" s="6"/>
      <c r="D109" s="6"/>
      <c r="E109" s="6"/>
      <c r="F109" s="6"/>
      <c r="G109" s="6"/>
      <c r="H109" s="6"/>
      <c r="I109" s="6">
        <f>+I61</f>
        <v>85680000.000000015</v>
      </c>
      <c r="J109" s="6"/>
      <c r="K109" s="6"/>
      <c r="L109" s="6"/>
      <c r="M109" s="6"/>
      <c r="N109" s="6"/>
    </row>
    <row r="110" spans="1:14" x14ac:dyDescent="0.25">
      <c r="A110" s="15" t="s">
        <v>42</v>
      </c>
      <c r="B110" s="16">
        <f>+B106+B107+B108-B109</f>
        <v>-2001500000</v>
      </c>
      <c r="C110" s="16">
        <f t="shared" ref="C110:L110" si="54">+C106+C107+C108-C109</f>
        <v>202938944.28571427</v>
      </c>
      <c r="D110" s="16">
        <f t="shared" si="54"/>
        <v>209321231.78285718</v>
      </c>
      <c r="E110" s="16">
        <f t="shared" si="54"/>
        <v>237053155.32839984</v>
      </c>
      <c r="F110" s="16">
        <f t="shared" si="54"/>
        <v>315348503.2097156</v>
      </c>
      <c r="G110" s="16">
        <f t="shared" si="54"/>
        <v>356235589.27432871</v>
      </c>
      <c r="H110" s="16">
        <f t="shared" si="54"/>
        <v>385460419.06406641</v>
      </c>
      <c r="I110" s="16">
        <f t="shared" si="54"/>
        <v>363861814.85876119</v>
      </c>
      <c r="J110" s="16">
        <f t="shared" si="54"/>
        <v>566428834.96948886</v>
      </c>
      <c r="K110" s="16">
        <f t="shared" si="54"/>
        <v>639004303.62527061</v>
      </c>
      <c r="L110" s="16">
        <f t="shared" si="54"/>
        <v>720195986.8363564</v>
      </c>
      <c r="M110" s="6"/>
      <c r="N110" s="6"/>
    </row>
    <row r="111" spans="1:14" x14ac:dyDescent="0.25"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 spans="1:14" x14ac:dyDescent="0.25">
      <c r="A112" t="s">
        <v>56</v>
      </c>
      <c r="B112" s="1">
        <v>0.157</v>
      </c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 spans="1:14" x14ac:dyDescent="0.25">
      <c r="A113" s="15" t="s">
        <v>57</v>
      </c>
      <c r="B113" s="16">
        <f>+B110+NPV(B112,C110:L110)</f>
        <v>-361172719.12342238</v>
      </c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spans="1:14" x14ac:dyDescent="0.25"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 spans="1:14" x14ac:dyDescent="0.25">
      <c r="A115" t="s">
        <v>58</v>
      </c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spans="1:14" x14ac:dyDescent="0.25"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</row>
    <row r="117" spans="1:14" x14ac:dyDescent="0.25"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 spans="1:14" x14ac:dyDescent="0.25"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</row>
    <row r="119" spans="1:14" x14ac:dyDescent="0.25"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</row>
    <row r="120" spans="1:14" x14ac:dyDescent="0.25"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</row>
    <row r="121" spans="1:14" x14ac:dyDescent="0.25"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spans="1:14" x14ac:dyDescent="0.25"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spans="1:14" x14ac:dyDescent="0.25"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 spans="1:14" x14ac:dyDescent="0.25"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 spans="1:14" x14ac:dyDescent="0.25"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1:14" x14ac:dyDescent="0.25"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spans="1:14" x14ac:dyDescent="0.25"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 spans="1:14" x14ac:dyDescent="0.25"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 spans="3:14" x14ac:dyDescent="0.25"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</row>
    <row r="130" spans="3:14" x14ac:dyDescent="0.25"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 spans="3:14" x14ac:dyDescent="0.25"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3:14" x14ac:dyDescent="0.25"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</row>
    <row r="133" spans="3:14" x14ac:dyDescent="0.25"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</row>
    <row r="134" spans="3:14" x14ac:dyDescent="0.25"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</row>
    <row r="135" spans="3:14" x14ac:dyDescent="0.25"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</row>
    <row r="136" spans="3:14" x14ac:dyDescent="0.25"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</row>
    <row r="137" spans="3:14" x14ac:dyDescent="0.25"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</row>
    <row r="138" spans="3:14" x14ac:dyDescent="0.25"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</row>
    <row r="139" spans="3:14" x14ac:dyDescent="0.25"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</row>
    <row r="140" spans="3:14" x14ac:dyDescent="0.25"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</row>
    <row r="141" spans="3:14" x14ac:dyDescent="0.25"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</row>
    <row r="142" spans="3:14" x14ac:dyDescent="0.25"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</row>
    <row r="143" spans="3:14" x14ac:dyDescent="0.25"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</row>
    <row r="144" spans="3:14" x14ac:dyDescent="0.25"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</row>
    <row r="145" spans="3:14" x14ac:dyDescent="0.25"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</row>
    <row r="146" spans="3:14" x14ac:dyDescent="0.25"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 spans="3:14" x14ac:dyDescent="0.25"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 spans="3:14" x14ac:dyDescent="0.25"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 spans="3:14" x14ac:dyDescent="0.25"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</row>
    <row r="150" spans="3:14" x14ac:dyDescent="0.25"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</row>
    <row r="151" spans="3:14" x14ac:dyDescent="0.25"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</row>
    <row r="152" spans="3:14" x14ac:dyDescent="0.25"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</row>
    <row r="153" spans="3:14" x14ac:dyDescent="0.25"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</row>
    <row r="154" spans="3:14" x14ac:dyDescent="0.25"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</row>
    <row r="155" spans="3:14" x14ac:dyDescent="0.25"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</row>
    <row r="156" spans="3:14" x14ac:dyDescent="0.25"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</row>
    <row r="157" spans="3:14" x14ac:dyDescent="0.25"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 spans="3:14" x14ac:dyDescent="0.25"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</row>
    <row r="159" spans="3:14" x14ac:dyDescent="0.25"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 spans="3:14" x14ac:dyDescent="0.25"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 spans="3:14" x14ac:dyDescent="0.25"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</row>
    <row r="162" spans="3:14" x14ac:dyDescent="0.25"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3" spans="3:14" x14ac:dyDescent="0.25"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 spans="3:14" x14ac:dyDescent="0.25"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</row>
    <row r="165" spans="3:14" x14ac:dyDescent="0.25"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</row>
    <row r="166" spans="3:14" x14ac:dyDescent="0.25"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 spans="3:14" x14ac:dyDescent="0.25"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</row>
    <row r="168" spans="3:14" x14ac:dyDescent="0.25"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 spans="3:14" x14ac:dyDescent="0.25"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spans="3:14" x14ac:dyDescent="0.25"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</row>
    <row r="171" spans="3:14" x14ac:dyDescent="0.25"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 spans="3:14" x14ac:dyDescent="0.25"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 spans="3:14" x14ac:dyDescent="0.25"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</row>
    <row r="174" spans="3:14" x14ac:dyDescent="0.25"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</row>
    <row r="175" spans="3:14" x14ac:dyDescent="0.25"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 spans="3:14" x14ac:dyDescent="0.25"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</row>
    <row r="177" spans="3:14" x14ac:dyDescent="0.25"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</row>
    <row r="178" spans="3:14" x14ac:dyDescent="0.25"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</row>
    <row r="179" spans="3:14" x14ac:dyDescent="0.25"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</row>
    <row r="180" spans="3:14" x14ac:dyDescent="0.25"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</row>
    <row r="181" spans="3:14" x14ac:dyDescent="0.25"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</row>
    <row r="182" spans="3:14" x14ac:dyDescent="0.25"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</row>
    <row r="183" spans="3:14" x14ac:dyDescent="0.25"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</row>
    <row r="184" spans="3:14" x14ac:dyDescent="0.25"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</row>
    <row r="185" spans="3:14" x14ac:dyDescent="0.25"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</row>
    <row r="186" spans="3:14" x14ac:dyDescent="0.25"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</row>
    <row r="187" spans="3:14" x14ac:dyDescent="0.25"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</row>
    <row r="188" spans="3:14" x14ac:dyDescent="0.25"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</row>
    <row r="189" spans="3:14" x14ac:dyDescent="0.25"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</row>
    <row r="190" spans="3:14" x14ac:dyDescent="0.25"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</row>
    <row r="191" spans="3:14" x14ac:dyDescent="0.25"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</row>
    <row r="192" spans="3:14" x14ac:dyDescent="0.25"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</row>
    <row r="193" spans="3:14" x14ac:dyDescent="0.25"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</row>
    <row r="194" spans="3:14" x14ac:dyDescent="0.25"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</row>
    <row r="195" spans="3:14" x14ac:dyDescent="0.25"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</row>
    <row r="196" spans="3:14" x14ac:dyDescent="0.25"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</row>
    <row r="197" spans="3:14" x14ac:dyDescent="0.25"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 spans="3:14" x14ac:dyDescent="0.25"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</row>
    <row r="199" spans="3:14" x14ac:dyDescent="0.25"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</row>
    <row r="200" spans="3:14" x14ac:dyDescent="0.25"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</row>
    <row r="201" spans="3:14" x14ac:dyDescent="0.25"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</row>
    <row r="202" spans="3:14" x14ac:dyDescent="0.25"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</row>
    <row r="203" spans="3:14" x14ac:dyDescent="0.25"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</row>
    <row r="204" spans="3:14" x14ac:dyDescent="0.25"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</row>
    <row r="205" spans="3:14" x14ac:dyDescent="0.25"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</row>
    <row r="206" spans="3:14" x14ac:dyDescent="0.25"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</row>
    <row r="207" spans="3:14" x14ac:dyDescent="0.25"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</row>
    <row r="208" spans="3:14" x14ac:dyDescent="0.25"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</row>
    <row r="209" spans="3:14" x14ac:dyDescent="0.25"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</row>
    <row r="210" spans="3:14" x14ac:dyDescent="0.25"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</row>
    <row r="211" spans="3:14" x14ac:dyDescent="0.25"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</row>
    <row r="212" spans="3:14" x14ac:dyDescent="0.25"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</row>
    <row r="213" spans="3:14" x14ac:dyDescent="0.25"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</row>
    <row r="214" spans="3:14" x14ac:dyDescent="0.25"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</row>
    <row r="215" spans="3:14" x14ac:dyDescent="0.25"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</row>
    <row r="216" spans="3:14" x14ac:dyDescent="0.25"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</row>
    <row r="217" spans="3:14" x14ac:dyDescent="0.25"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</row>
    <row r="218" spans="3:14" x14ac:dyDescent="0.25"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</row>
    <row r="219" spans="3:14" x14ac:dyDescent="0.25"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</row>
    <row r="220" spans="3:14" x14ac:dyDescent="0.25"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</row>
    <row r="221" spans="3:14" x14ac:dyDescent="0.25"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</row>
    <row r="222" spans="3:14" x14ac:dyDescent="0.25"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</row>
    <row r="223" spans="3:14" x14ac:dyDescent="0.25"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</row>
    <row r="224" spans="3:14" x14ac:dyDescent="0.25"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</row>
    <row r="225" spans="3:14" x14ac:dyDescent="0.25"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</row>
    <row r="226" spans="3:14" x14ac:dyDescent="0.25"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</row>
    <row r="227" spans="3:14" x14ac:dyDescent="0.25"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</row>
    <row r="228" spans="3:14" x14ac:dyDescent="0.25"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</row>
    <row r="229" spans="3:14" x14ac:dyDescent="0.25"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</row>
    <row r="230" spans="3:14" x14ac:dyDescent="0.25"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</row>
    <row r="231" spans="3:14" x14ac:dyDescent="0.25"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</row>
    <row r="232" spans="3:14" x14ac:dyDescent="0.25"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</row>
    <row r="233" spans="3:14" x14ac:dyDescent="0.25"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</row>
    <row r="234" spans="3:14" x14ac:dyDescent="0.25"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</row>
    <row r="235" spans="3:14" x14ac:dyDescent="0.25"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</row>
    <row r="236" spans="3:14" x14ac:dyDescent="0.25"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</row>
    <row r="237" spans="3:14" x14ac:dyDescent="0.25"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</row>
    <row r="238" spans="3:14" x14ac:dyDescent="0.25"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</row>
    <row r="239" spans="3:14" x14ac:dyDescent="0.25"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</row>
    <row r="240" spans="3:14" x14ac:dyDescent="0.25"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</row>
    <row r="241" spans="3:14" x14ac:dyDescent="0.25"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</row>
    <row r="242" spans="3:14" x14ac:dyDescent="0.25"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</row>
    <row r="243" spans="3:14" x14ac:dyDescent="0.25"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</row>
    <row r="244" spans="3:14" x14ac:dyDescent="0.25"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</row>
    <row r="245" spans="3:14" x14ac:dyDescent="0.25"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</row>
    <row r="246" spans="3:14" x14ac:dyDescent="0.25"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</row>
    <row r="247" spans="3:14" x14ac:dyDescent="0.25"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</row>
    <row r="248" spans="3:14" x14ac:dyDescent="0.25"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</row>
    <row r="249" spans="3:14" x14ac:dyDescent="0.25"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</row>
    <row r="250" spans="3:14" x14ac:dyDescent="0.25"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</row>
    <row r="251" spans="3:14" x14ac:dyDescent="0.25"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</row>
    <row r="252" spans="3:14" x14ac:dyDescent="0.25"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</row>
    <row r="253" spans="3:14" x14ac:dyDescent="0.25"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</row>
    <row r="254" spans="3:14" x14ac:dyDescent="0.25"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</row>
    <row r="255" spans="3:14" x14ac:dyDescent="0.25"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</row>
    <row r="256" spans="3:14" x14ac:dyDescent="0.25"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</row>
    <row r="257" spans="3:14" x14ac:dyDescent="0.25"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</row>
    <row r="258" spans="3:14" x14ac:dyDescent="0.25"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</row>
    <row r="259" spans="3:14" x14ac:dyDescent="0.25"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</row>
    <row r="260" spans="3:14" x14ac:dyDescent="0.25"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</row>
    <row r="261" spans="3:14" x14ac:dyDescent="0.25"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</row>
    <row r="262" spans="3:14" x14ac:dyDescent="0.25"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</row>
    <row r="263" spans="3:14" x14ac:dyDescent="0.25"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</row>
    <row r="264" spans="3:14" x14ac:dyDescent="0.25"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</row>
    <row r="265" spans="3:14" x14ac:dyDescent="0.25"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</row>
    <row r="266" spans="3:14" x14ac:dyDescent="0.25"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</row>
    <row r="267" spans="3:14" x14ac:dyDescent="0.25"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</row>
    <row r="268" spans="3:14" x14ac:dyDescent="0.25"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</row>
    <row r="269" spans="3:14" x14ac:dyDescent="0.25"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</row>
    <row r="270" spans="3:14" x14ac:dyDescent="0.25"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</row>
  </sheetData>
  <mergeCells count="2">
    <mergeCell ref="A99:L99"/>
    <mergeCell ref="A75:L75"/>
  </mergeCells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andres montes gomez</cp:lastModifiedBy>
  <dcterms:created xsi:type="dcterms:W3CDTF">2019-09-15T16:18:57Z</dcterms:created>
  <dcterms:modified xsi:type="dcterms:W3CDTF">2020-06-20T16:31:30Z</dcterms:modified>
</cp:coreProperties>
</file>