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Documentos\"/>
    </mc:Choice>
  </mc:AlternateContent>
  <bookViews>
    <workbookView xWindow="0" yWindow="0" windowWidth="20490" windowHeight="7530"/>
  </bookViews>
  <sheets>
    <sheet name="Informacion" sheetId="1" r:id="rId1"/>
    <sheet name="Resumen del escenario" sheetId="5" r:id="rId2"/>
  </sheets>
  <definedNames>
    <definedName name="Arriendo">Informacion!$B$77</definedName>
    <definedName name="BAUE">Informacion!$H$19</definedName>
    <definedName name="Insumos">Informacion!$F$76</definedName>
    <definedName name="IR">Informacion!$H$20</definedName>
    <definedName name="Precio_Venta">Informacion!$B$4</definedName>
    <definedName name="Produccion">Informacion!$B$5</definedName>
    <definedName name="RI">Informacion!$H$20</definedName>
    <definedName name="TIR">Informacion!$H$16</definedName>
    <definedName name="TIRM">Informacion!$H$18</definedName>
    <definedName name="VPN">Informacion!$H$17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1" i="1" l="1"/>
  <c r="I20" i="5"/>
  <c r="B80" i="1"/>
  <c r="F80" i="1"/>
  <c r="I19" i="5"/>
  <c r="I18" i="5"/>
  <c r="J18" i="5"/>
  <c r="J17" i="5"/>
  <c r="K18" i="5"/>
  <c r="K17" i="5"/>
  <c r="J15" i="5"/>
  <c r="D21" i="5"/>
  <c r="D20" i="5"/>
  <c r="G24" i="5"/>
  <c r="F24" i="5"/>
  <c r="E24" i="5"/>
  <c r="D24" i="5"/>
  <c r="D19" i="5"/>
  <c r="G17" i="5"/>
  <c r="G10" i="1"/>
  <c r="G11" i="1"/>
  <c r="B70" i="1"/>
  <c r="I6" i="1"/>
  <c r="J4" i="1"/>
  <c r="K4" i="1"/>
  <c r="L4" i="1"/>
  <c r="M4" i="1"/>
  <c r="N4" i="1"/>
  <c r="D80" i="1"/>
  <c r="B82" i="1"/>
  <c r="I11" i="1"/>
  <c r="J6" i="1"/>
  <c r="D39" i="1"/>
  <c r="J11" i="1"/>
  <c r="K6" i="1"/>
  <c r="I4" i="1"/>
  <c r="D59" i="1"/>
  <c r="D55" i="1"/>
  <c r="D48" i="1"/>
  <c r="D41" i="1"/>
  <c r="D54" i="1"/>
  <c r="D52" i="1"/>
  <c r="D51" i="1"/>
  <c r="D50" i="1"/>
  <c r="D49" i="1"/>
  <c r="D47" i="1"/>
  <c r="D38" i="1"/>
  <c r="D37" i="1"/>
  <c r="D36" i="1"/>
  <c r="D35" i="1"/>
  <c r="D34" i="1"/>
  <c r="D33" i="1"/>
  <c r="D32" i="1"/>
  <c r="D31" i="1"/>
  <c r="D30" i="1"/>
  <c r="D29" i="1"/>
  <c r="D53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B7" i="1"/>
  <c r="I3" i="1"/>
  <c r="D43" i="1"/>
  <c r="J3" i="1"/>
  <c r="L6" i="1"/>
  <c r="K11" i="1"/>
  <c r="D25" i="1"/>
  <c r="D57" i="1"/>
  <c r="B64" i="1"/>
  <c r="L11" i="1"/>
  <c r="M6" i="1"/>
  <c r="K3" i="1"/>
  <c r="M11" i="1"/>
  <c r="N6" i="1"/>
  <c r="N11" i="1"/>
  <c r="I5" i="1"/>
  <c r="B84" i="1"/>
  <c r="H12" i="1"/>
  <c r="H14" i="1"/>
  <c r="L3" i="1"/>
  <c r="H22" i="1"/>
  <c r="H23" i="1"/>
  <c r="H24" i="1"/>
  <c r="J5" i="1"/>
  <c r="I10" i="1"/>
  <c r="I7" i="1"/>
  <c r="M3" i="1"/>
  <c r="I8" i="1"/>
  <c r="I9" i="1"/>
  <c r="I14" i="1"/>
  <c r="I24" i="1"/>
  <c r="N3" i="1"/>
  <c r="K5" i="1"/>
  <c r="J10" i="1"/>
  <c r="J7" i="1"/>
  <c r="J8" i="1"/>
  <c r="J9" i="1"/>
  <c r="J14" i="1"/>
  <c r="K10" i="1"/>
  <c r="L5" i="1"/>
  <c r="K7" i="1"/>
  <c r="I22" i="1"/>
  <c r="I23" i="1"/>
  <c r="J22" i="1"/>
  <c r="J23" i="1"/>
  <c r="J24" i="1"/>
  <c r="K8" i="1"/>
  <c r="K9" i="1"/>
  <c r="K14" i="1"/>
  <c r="K22" i="1"/>
  <c r="L10" i="1"/>
  <c r="M5" i="1"/>
  <c r="L7" i="1"/>
  <c r="N5" i="1"/>
  <c r="M10" i="1"/>
  <c r="M7" i="1"/>
  <c r="K24" i="1"/>
  <c r="K23" i="1"/>
  <c r="H27" i="1"/>
  <c r="K27" i="1"/>
  <c r="L8" i="1"/>
  <c r="L9" i="1"/>
  <c r="L14" i="1"/>
  <c r="L22" i="1"/>
  <c r="L23" i="1"/>
  <c r="H26" i="1"/>
  <c r="K26" i="1"/>
  <c r="L24" i="1"/>
  <c r="M8" i="1"/>
  <c r="M9" i="1"/>
  <c r="M14" i="1"/>
  <c r="N10" i="1"/>
  <c r="N7" i="1"/>
  <c r="M22" i="1"/>
  <c r="M23" i="1"/>
  <c r="N8" i="1"/>
  <c r="N9" i="1"/>
  <c r="N14" i="1"/>
  <c r="H17" i="1"/>
  <c r="H19" i="1"/>
  <c r="M24" i="1"/>
  <c r="N22" i="1"/>
  <c r="N23" i="1"/>
  <c r="H18" i="1"/>
  <c r="H16" i="1"/>
  <c r="H20" i="1"/>
  <c r="N24" i="1"/>
</calcChain>
</file>

<file path=xl/sharedStrings.xml><?xml version="1.0" encoding="utf-8"?>
<sst xmlns="http://schemas.openxmlformats.org/spreadsheetml/2006/main" count="131" uniqueCount="111">
  <si>
    <t>PLANTAS</t>
  </si>
  <si>
    <t>Area</t>
  </si>
  <si>
    <t>hectarea</t>
  </si>
  <si>
    <t>Precio Venta</t>
  </si>
  <si>
    <t>Produccion planta</t>
  </si>
  <si>
    <t>kg/planta</t>
  </si>
  <si>
    <t>$/planta</t>
  </si>
  <si>
    <t>Ingresos (anuales)</t>
  </si>
  <si>
    <t>Guadañadora</t>
  </si>
  <si>
    <t>Estacionaria</t>
  </si>
  <si>
    <t>Precio</t>
  </si>
  <si>
    <t>Cantidad</t>
  </si>
  <si>
    <t>Fumigadora Espalda</t>
  </si>
  <si>
    <t>Tijereas podadoras</t>
  </si>
  <si>
    <t>Asadones</t>
  </si>
  <si>
    <t>Machetes</t>
  </si>
  <si>
    <t>Limas</t>
  </si>
  <si>
    <t>Picas</t>
  </si>
  <si>
    <t>Canecas (200 Lt)</t>
  </si>
  <si>
    <t>Martillos</t>
  </si>
  <si>
    <t>Alicates</t>
  </si>
  <si>
    <t>Tanque (30.000 Lt)</t>
  </si>
  <si>
    <t>Destornilladores (pala y estrella)</t>
  </si>
  <si>
    <t>Cosedora industrial</t>
  </si>
  <si>
    <t>TOTAL</t>
  </si>
  <si>
    <t>INVERSION HERRAMIENTAS</t>
  </si>
  <si>
    <t>INVERSION MONTAJE</t>
  </si>
  <si>
    <t>Guadua (6 mt)</t>
  </si>
  <si>
    <t>Plastico</t>
  </si>
  <si>
    <t>Cable 1/8 (Carrete x 2000 mt)</t>
  </si>
  <si>
    <t>Cable 1/16 (Carrete x 1000 mt)</t>
  </si>
  <si>
    <t>Alambre plastico  (mt)</t>
  </si>
  <si>
    <t>Cemento</t>
  </si>
  <si>
    <t>Barilla 1/8 (6 mt)</t>
  </si>
  <si>
    <t>Arena pega (mt)</t>
  </si>
  <si>
    <t>Ganchos Titan (caja)</t>
  </si>
  <si>
    <t>Botellas plasticas (PET)</t>
  </si>
  <si>
    <t>INVERSION RIEGO</t>
  </si>
  <si>
    <t>Manguera 2 pulg (mt)</t>
  </si>
  <si>
    <t>Cinta autocompensada (mt)</t>
  </si>
  <si>
    <t>Filtro anillado</t>
  </si>
  <si>
    <t>Accesorios</t>
  </si>
  <si>
    <t>Reductores de presion</t>
  </si>
  <si>
    <t>Mano de obra</t>
  </si>
  <si>
    <t>Manguera 3 pulg (mt)</t>
  </si>
  <si>
    <t>Tanques (2.000 Lt)</t>
  </si>
  <si>
    <t>Mano Obra</t>
  </si>
  <si>
    <t>Plantas</t>
  </si>
  <si>
    <t>INVERSION TOTAL</t>
  </si>
  <si>
    <t>Caneca de bareta</t>
  </si>
  <si>
    <t>Inmunizada guadua</t>
  </si>
  <si>
    <t>GASTOS OPERATIVOS</t>
  </si>
  <si>
    <t>Numero de trabajadores</t>
  </si>
  <si>
    <t>Salario mensual con prestaciones</t>
  </si>
  <si>
    <t>GASTOS PRE-OPERATIVOS</t>
  </si>
  <si>
    <t>Estudio de suelos</t>
  </si>
  <si>
    <t>Asistencia tecnica</t>
  </si>
  <si>
    <t>Insumos</t>
  </si>
  <si>
    <t>Arriendo</t>
  </si>
  <si>
    <t>Arriendo mensual</t>
  </si>
  <si>
    <t>(1-2)</t>
  </si>
  <si>
    <t>(3-5)</t>
  </si>
  <si>
    <t>TOTAL GASTOS OPERATIVOS</t>
  </si>
  <si>
    <t>TOTAL INVERSION</t>
  </si>
  <si>
    <t>TOTAL CAPITAL DE TRABAJO</t>
  </si>
  <si>
    <t>TOTAL PREOPERATIVOS</t>
  </si>
  <si>
    <t>Año</t>
  </si>
  <si>
    <t>Ingresos</t>
  </si>
  <si>
    <t>Inflacion</t>
  </si>
  <si>
    <t>Gastos operativos</t>
  </si>
  <si>
    <t>Depreciacion</t>
  </si>
  <si>
    <t>Amortizacion</t>
  </si>
  <si>
    <t>Impuestos operativos</t>
  </si>
  <si>
    <t>Utilidad Operativa</t>
  </si>
  <si>
    <t>Impuestos</t>
  </si>
  <si>
    <t>UODI</t>
  </si>
  <si>
    <t>Inversion inicial</t>
  </si>
  <si>
    <t>FLUJO DE CAJA PROYECTO</t>
  </si>
  <si>
    <t>Tasa de descuento</t>
  </si>
  <si>
    <t>TIR</t>
  </si>
  <si>
    <t>VPN</t>
  </si>
  <si>
    <t xml:space="preserve">TIRM </t>
  </si>
  <si>
    <t>BAUE</t>
  </si>
  <si>
    <t>IR</t>
  </si>
  <si>
    <t>FC Descontado</t>
  </si>
  <si>
    <t>FCD Acumudalo</t>
  </si>
  <si>
    <t>FC Acumulado</t>
  </si>
  <si>
    <t>PRI</t>
  </si>
  <si>
    <t>PRID</t>
  </si>
  <si>
    <t>años</t>
  </si>
  <si>
    <t>dias</t>
  </si>
  <si>
    <t>TIRM</t>
  </si>
  <si>
    <t>PESIMISTA</t>
  </si>
  <si>
    <t>Creado por andres montes gomez el 25/04/2017</t>
  </si>
  <si>
    <t>ESPERADO</t>
  </si>
  <si>
    <t>OPTIMISTA</t>
  </si>
  <si>
    <t>Resumen del escenario</t>
  </si>
  <si>
    <t>Celdas cambiantes:</t>
  </si>
  <si>
    <t>Valores actuales:</t>
  </si>
  <si>
    <t>Celdas de resultado:</t>
  </si>
  <si>
    <t>Produccion</t>
  </si>
  <si>
    <t>Probabilidad Escenario</t>
  </si>
  <si>
    <t>VPN ESPERADO</t>
  </si>
  <si>
    <t>RIESGO VPN</t>
  </si>
  <si>
    <t>COEFICIENTE DE VARIACION</t>
  </si>
  <si>
    <t xml:space="preserve"> </t>
  </si>
  <si>
    <t>dtf</t>
  </si>
  <si>
    <t>MENSUAL</t>
  </si>
  <si>
    <t>EA</t>
  </si>
  <si>
    <t>Adecuacion carretera</t>
  </si>
  <si>
    <t>Inversion Campamento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</si>
</sst>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;[Red]\-&quot;$&quot;#,##0.00"/>
    <numFmt numFmtId="42" formatCode="_-&quot;$&quot;* #,##0_-;\-&quot;$&quot;* #,##0_-;_-&quot;$&quot;* &quot;-&quot;_-;_-@_-"/>
    <numFmt numFmtId="41" formatCode="_-* #,##0_-;\-* #,##0_-;_-* &quot;-&quot;_-;_-@_-"/>
    <numFmt numFmtId="164" formatCode="_-* #,##0.00_-;\-* #,##0.00_-;_-* &quot;-&quot;_-;_-@_-"/>
    <numFmt numFmtId="165" formatCode="_-&quot;$&quot;* #,##0.00_-;\-&quot;$&quot;* #,##0.00_-;_-&quot;$&quot;* &quot;-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41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42" fontId="0" fillId="0" borderId="0" xfId="2" applyFont="1" applyAlignment="1">
      <alignment horizontal="center"/>
    </xf>
    <xf numFmtId="42" fontId="2" fillId="0" borderId="0" xfId="2" applyFont="1" applyAlignment="1">
      <alignment horizontal="center"/>
    </xf>
    <xf numFmtId="42" fontId="2" fillId="0" borderId="0" xfId="0" applyNumberFormat="1" applyFont="1" applyAlignment="1">
      <alignment horizontal="center"/>
    </xf>
    <xf numFmtId="42" fontId="0" fillId="0" borderId="0" xfId="0" applyNumberFormat="1"/>
    <xf numFmtId="42" fontId="2" fillId="0" borderId="0" xfId="0" applyNumberFormat="1" applyFont="1"/>
    <xf numFmtId="41" fontId="2" fillId="0" borderId="0" xfId="1" applyFont="1" applyAlignment="1">
      <alignment horizontal="center"/>
    </xf>
    <xf numFmtId="0" fontId="0" fillId="0" borderId="0" xfId="0" applyFont="1"/>
    <xf numFmtId="42" fontId="0" fillId="0" borderId="0" xfId="2" applyFont="1"/>
    <xf numFmtId="16" fontId="0" fillId="0" borderId="0" xfId="2" applyNumberFormat="1" applyFont="1" applyAlignment="1">
      <alignment horizontal="center"/>
    </xf>
    <xf numFmtId="0" fontId="2" fillId="3" borderId="0" xfId="0" applyFont="1" applyFill="1"/>
    <xf numFmtId="42" fontId="2" fillId="3" borderId="0" xfId="0" applyNumberFormat="1" applyFont="1" applyFill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0" applyNumberFormat="1"/>
    <xf numFmtId="8" fontId="0" fillId="0" borderId="0" xfId="0" applyNumberFormat="1"/>
    <xf numFmtId="41" fontId="0" fillId="0" borderId="0" xfId="1" applyFont="1"/>
    <xf numFmtId="164" fontId="0" fillId="0" borderId="0" xfId="1" applyNumberFormat="1" applyFont="1"/>
    <xf numFmtId="0" fontId="2" fillId="2" borderId="2" xfId="0" applyFont="1" applyFill="1" applyBorder="1"/>
    <xf numFmtId="10" fontId="2" fillId="2" borderId="2" xfId="0" applyNumberFormat="1" applyFont="1" applyFill="1" applyBorder="1"/>
    <xf numFmtId="42" fontId="2" fillId="2" borderId="2" xfId="0" applyNumberFormat="1" applyFont="1" applyFill="1" applyBorder="1"/>
    <xf numFmtId="8" fontId="2" fillId="2" borderId="2" xfId="0" applyNumberFormat="1" applyFont="1" applyFill="1" applyBorder="1"/>
    <xf numFmtId="164" fontId="2" fillId="2" borderId="2" xfId="1" applyNumberFormat="1" applyFont="1" applyFill="1" applyBorder="1"/>
    <xf numFmtId="0" fontId="2" fillId="4" borderId="0" xfId="0" applyFont="1" applyFill="1"/>
    <xf numFmtId="42" fontId="2" fillId="4" borderId="0" xfId="2" applyFont="1" applyFill="1"/>
    <xf numFmtId="0" fontId="0" fillId="0" borderId="0" xfId="0" applyFont="1" applyFill="1" applyBorder="1"/>
    <xf numFmtId="0" fontId="0" fillId="0" borderId="0" xfId="0" applyFill="1" applyBorder="1" applyAlignment="1"/>
    <xf numFmtId="42" fontId="0" fillId="0" borderId="0" xfId="0" applyNumberFormat="1" applyFill="1" applyBorder="1" applyAlignment="1"/>
    <xf numFmtId="10" fontId="0" fillId="0" borderId="0" xfId="0" applyNumberFormat="1" applyFill="1" applyBorder="1" applyAlignment="1"/>
    <xf numFmtId="8" fontId="0" fillId="0" borderId="0" xfId="0" applyNumberFormat="1" applyFill="1" applyBorder="1" applyAlignment="1"/>
    <xf numFmtId="164" fontId="0" fillId="0" borderId="4" xfId="0" applyNumberFormat="1" applyFill="1" applyBorder="1" applyAlignment="1"/>
    <xf numFmtId="0" fontId="4" fillId="5" borderId="1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0" fillId="0" borderId="5" xfId="0" applyFill="1" applyBorder="1" applyAlignment="1"/>
    <xf numFmtId="0" fontId="5" fillId="6" borderId="0" xfId="0" applyFont="1" applyFill="1" applyBorder="1" applyAlignment="1">
      <alignment horizontal="left"/>
    </xf>
    <xf numFmtId="0" fontId="6" fillId="6" borderId="5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7" fillId="5" borderId="3" xfId="0" applyFont="1" applyFill="1" applyBorder="1" applyAlignment="1">
      <alignment horizontal="right"/>
    </xf>
    <xf numFmtId="0" fontId="7" fillId="5" borderId="1" xfId="0" applyFont="1" applyFill="1" applyBorder="1" applyAlignment="1">
      <alignment horizontal="right"/>
    </xf>
    <xf numFmtId="0" fontId="0" fillId="7" borderId="0" xfId="0" applyFill="1" applyBorder="1" applyAlignment="1"/>
    <xf numFmtId="42" fontId="0" fillId="7" borderId="0" xfId="0" applyNumberFormat="1" applyFill="1" applyBorder="1" applyAlignment="1"/>
    <xf numFmtId="0" fontId="8" fillId="0" borderId="0" xfId="0" applyFont="1" applyFill="1" applyBorder="1" applyAlignment="1">
      <alignment vertical="top" wrapText="1"/>
    </xf>
    <xf numFmtId="42" fontId="0" fillId="7" borderId="0" xfId="2" applyFont="1" applyFill="1" applyBorder="1" applyAlignment="1"/>
    <xf numFmtId="42" fontId="0" fillId="0" borderId="0" xfId="2" applyFont="1" applyFill="1" applyBorder="1" applyAlignment="1"/>
    <xf numFmtId="0" fontId="3" fillId="0" borderId="0" xfId="0" applyFont="1"/>
    <xf numFmtId="42" fontId="2" fillId="8" borderId="2" xfId="2" applyFont="1" applyFill="1" applyBorder="1"/>
    <xf numFmtId="42" fontId="2" fillId="8" borderId="2" xfId="0" applyNumberFormat="1" applyFont="1" applyFill="1" applyBorder="1"/>
    <xf numFmtId="10" fontId="2" fillId="8" borderId="2" xfId="3" applyNumberFormat="1" applyFont="1" applyFill="1" applyBorder="1"/>
    <xf numFmtId="10" fontId="0" fillId="0" borderId="0" xfId="0" applyNumberFormat="1"/>
    <xf numFmtId="10" fontId="0" fillId="0" borderId="0" xfId="3" applyNumberFormat="1" applyFont="1"/>
    <xf numFmtId="165" fontId="0" fillId="0" borderId="0" xfId="2" applyNumberFormat="1" applyFont="1"/>
    <xf numFmtId="42" fontId="0" fillId="0" borderId="0" xfId="2" applyFont="1" applyAlignment="1">
      <alignment horizontal="right"/>
    </xf>
    <xf numFmtId="0" fontId="2" fillId="8" borderId="6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9" borderId="0" xfId="0" applyFont="1" applyFill="1"/>
    <xf numFmtId="0" fontId="0" fillId="9" borderId="0" xfId="0" applyFill="1" applyAlignment="1">
      <alignment horizontal="center"/>
    </xf>
    <xf numFmtId="42" fontId="0" fillId="9" borderId="0" xfId="2" applyFont="1" applyFill="1" applyAlignment="1">
      <alignment horizontal="center"/>
    </xf>
    <xf numFmtId="0" fontId="0" fillId="9" borderId="0" xfId="0" applyFill="1"/>
    <xf numFmtId="41" fontId="0" fillId="9" borderId="0" xfId="1" applyFont="1" applyFill="1" applyAlignment="1">
      <alignment horizontal="center"/>
    </xf>
    <xf numFmtId="42" fontId="2" fillId="9" borderId="0" xfId="2" applyFont="1" applyFill="1" applyAlignment="1">
      <alignment horizont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tabSelected="1" topLeftCell="A39" workbookViewId="0">
      <selection activeCell="E45" sqref="E45"/>
    </sheetView>
  </sheetViews>
  <sheetFormatPr baseColWidth="10" defaultRowHeight="15" x14ac:dyDescent="0.25"/>
  <cols>
    <col min="1" max="1" width="30.28515625" bestFit="1" customWidth="1"/>
    <col min="2" max="2" width="13.5703125" style="3" bestFit="1" customWidth="1"/>
    <col min="3" max="3" width="9.42578125" style="3" bestFit="1" customWidth="1"/>
    <col min="4" max="4" width="13.5703125" style="3" bestFit="1" customWidth="1"/>
    <col min="6" max="6" width="13.5703125" bestFit="1" customWidth="1"/>
    <col min="7" max="7" width="24.140625" bestFit="1" customWidth="1"/>
    <col min="8" max="9" width="15.42578125" bestFit="1" customWidth="1"/>
    <col min="10" max="10" width="14.42578125" bestFit="1" customWidth="1"/>
    <col min="11" max="14" width="14.7109375" bestFit="1" customWidth="1"/>
  </cols>
  <sheetData>
    <row r="1" spans="1:14" x14ac:dyDescent="0.25">
      <c r="A1" t="s">
        <v>0</v>
      </c>
      <c r="B1" s="2">
        <v>2000</v>
      </c>
      <c r="G1" t="s">
        <v>66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</row>
    <row r="2" spans="1:14" x14ac:dyDescent="0.25">
      <c r="A2" t="s">
        <v>1</v>
      </c>
      <c r="B2" s="3">
        <v>1</v>
      </c>
      <c r="C2" s="3" t="s">
        <v>2</v>
      </c>
    </row>
    <row r="3" spans="1:14" x14ac:dyDescent="0.25">
      <c r="G3" t="s">
        <v>67</v>
      </c>
      <c r="I3" s="7">
        <f>+Informacion!B7</f>
        <v>300000000</v>
      </c>
      <c r="J3" s="7">
        <f>+I3*(1+Informacion!$B$86)</f>
        <v>313500000</v>
      </c>
      <c r="K3" s="7">
        <f>+J3*(1+Informacion!$B$86)</f>
        <v>327607500</v>
      </c>
      <c r="L3" s="7">
        <f>+K3*(1+Informacion!$B$86)</f>
        <v>342349837.5</v>
      </c>
      <c r="M3" s="7">
        <f>+L3*(1+Informacion!$B$86)</f>
        <v>357755580.1875</v>
      </c>
      <c r="N3" s="7">
        <f>+M3*(1+Informacion!$B$86)</f>
        <v>373854581.29593748</v>
      </c>
    </row>
    <row r="4" spans="1:14" x14ac:dyDescent="0.25">
      <c r="A4" t="s">
        <v>3</v>
      </c>
      <c r="B4" s="4">
        <v>5000</v>
      </c>
      <c r="C4" s="3" t="s">
        <v>6</v>
      </c>
      <c r="G4" t="s">
        <v>69</v>
      </c>
      <c r="I4" s="7">
        <f>+Informacion!B82</f>
        <v>106600000</v>
      </c>
      <c r="J4" s="11">
        <f>+Informacion!F80*12*(1+Informacion!$B$86)</f>
        <v>129161999.99999999</v>
      </c>
      <c r="K4" s="11">
        <f>+J4*(1+Informacion!$B$86)</f>
        <v>134974289.99999997</v>
      </c>
      <c r="L4" s="11">
        <f>+K4*(1+Informacion!$B$86)</f>
        <v>141048133.04999995</v>
      </c>
      <c r="M4" s="11">
        <f>+L4*(1+Informacion!$B$86)</f>
        <v>147395299.03724995</v>
      </c>
      <c r="N4" s="11">
        <f>+M4*(1+Informacion!$B$86)</f>
        <v>154028087.4939262</v>
      </c>
    </row>
    <row r="5" spans="1:14" x14ac:dyDescent="0.25">
      <c r="A5" t="s">
        <v>4</v>
      </c>
      <c r="B5" s="3">
        <v>30</v>
      </c>
      <c r="C5" s="3" t="s">
        <v>5</v>
      </c>
      <c r="G5" t="s">
        <v>70</v>
      </c>
      <c r="I5" s="11">
        <f>+Informacion!B64/6</f>
        <v>28413833.333333332</v>
      </c>
      <c r="J5" s="7">
        <f t="shared" ref="J5:N6" si="0">+I5</f>
        <v>28413833.333333332</v>
      </c>
      <c r="K5" s="7">
        <f t="shared" si="0"/>
        <v>28413833.333333332</v>
      </c>
      <c r="L5" s="7">
        <f t="shared" si="0"/>
        <v>28413833.333333332</v>
      </c>
      <c r="M5" s="7">
        <f t="shared" si="0"/>
        <v>28413833.333333332</v>
      </c>
      <c r="N5" s="7">
        <f t="shared" si="0"/>
        <v>28413833.333333332</v>
      </c>
    </row>
    <row r="6" spans="1:14" x14ac:dyDescent="0.25">
      <c r="G6" t="s">
        <v>71</v>
      </c>
      <c r="I6" s="11">
        <f>+Informacion!B70/6</f>
        <v>500000</v>
      </c>
      <c r="J6" s="11">
        <f t="shared" si="0"/>
        <v>500000</v>
      </c>
      <c r="K6" s="11">
        <f t="shared" si="0"/>
        <v>500000</v>
      </c>
      <c r="L6" s="11">
        <f t="shared" si="0"/>
        <v>500000</v>
      </c>
      <c r="M6" s="11">
        <f t="shared" si="0"/>
        <v>500000</v>
      </c>
      <c r="N6" s="11">
        <f t="shared" si="0"/>
        <v>500000</v>
      </c>
    </row>
    <row r="7" spans="1:14" x14ac:dyDescent="0.25">
      <c r="A7" t="s">
        <v>7</v>
      </c>
      <c r="B7" s="4">
        <f>+B1*B4*B5</f>
        <v>300000000</v>
      </c>
      <c r="G7" t="s">
        <v>73</v>
      </c>
      <c r="I7" s="7">
        <f t="shared" ref="I7:N7" si="1">+I3-I4-I5-I6</f>
        <v>164486166.66666666</v>
      </c>
      <c r="J7" s="7">
        <f t="shared" si="1"/>
        <v>155424166.66666666</v>
      </c>
      <c r="K7" s="7">
        <f t="shared" si="1"/>
        <v>163719376.66666669</v>
      </c>
      <c r="L7" s="7">
        <f t="shared" si="1"/>
        <v>172387871.1166667</v>
      </c>
      <c r="M7" s="7">
        <f t="shared" si="1"/>
        <v>181446447.8169167</v>
      </c>
      <c r="N7" s="7">
        <f t="shared" si="1"/>
        <v>190912660.46867794</v>
      </c>
    </row>
    <row r="8" spans="1:14" x14ac:dyDescent="0.25">
      <c r="G8" t="s">
        <v>72</v>
      </c>
      <c r="I8" s="11">
        <f>+I7*Informacion!$B$87</f>
        <v>55925296.666666664</v>
      </c>
      <c r="J8" s="11">
        <f>+J7*Informacion!$B$87</f>
        <v>52844216.666666664</v>
      </c>
      <c r="K8" s="11">
        <f>+K7*Informacion!$B$87</f>
        <v>55664588.066666678</v>
      </c>
      <c r="L8" s="11">
        <f>+L7*Informacion!$B$87</f>
        <v>58611876.179666683</v>
      </c>
      <c r="M8" s="11">
        <f>+M7*Informacion!$B$87</f>
        <v>61691792.257751681</v>
      </c>
      <c r="N8" s="11">
        <f>+N7*Informacion!$B$87</f>
        <v>64910304.559350505</v>
      </c>
    </row>
    <row r="9" spans="1:14" x14ac:dyDescent="0.25">
      <c r="A9" s="1" t="s">
        <v>25</v>
      </c>
      <c r="G9" t="s">
        <v>75</v>
      </c>
      <c r="I9" s="7">
        <f t="shared" ref="I9:N9" si="2">+I7-I8</f>
        <v>108560870</v>
      </c>
      <c r="J9" s="7">
        <f t="shared" si="2"/>
        <v>102579950</v>
      </c>
      <c r="K9" s="7">
        <f t="shared" si="2"/>
        <v>108054788.60000001</v>
      </c>
      <c r="L9" s="7">
        <f t="shared" si="2"/>
        <v>113775994.93700002</v>
      </c>
      <c r="M9" s="7">
        <f t="shared" si="2"/>
        <v>119754655.55916503</v>
      </c>
      <c r="N9" s="7">
        <f t="shared" si="2"/>
        <v>126002355.90932743</v>
      </c>
    </row>
    <row r="10" spans="1:14" x14ac:dyDescent="0.25">
      <c r="B10" s="3" t="s">
        <v>10</v>
      </c>
      <c r="C10" s="3" t="s">
        <v>11</v>
      </c>
      <c r="D10" s="3" t="s">
        <v>24</v>
      </c>
      <c r="G10" t="str">
        <f>+G5</f>
        <v>Depreciacion</v>
      </c>
      <c r="I10" s="11">
        <f t="shared" ref="I10:N11" si="3">+I5</f>
        <v>28413833.333333332</v>
      </c>
      <c r="J10" s="11">
        <f t="shared" si="3"/>
        <v>28413833.333333332</v>
      </c>
      <c r="K10" s="11">
        <f t="shared" si="3"/>
        <v>28413833.333333332</v>
      </c>
      <c r="L10" s="11">
        <f t="shared" si="3"/>
        <v>28413833.333333332</v>
      </c>
      <c r="M10" s="11">
        <f t="shared" si="3"/>
        <v>28413833.333333332</v>
      </c>
      <c r="N10" s="11">
        <f t="shared" si="3"/>
        <v>28413833.333333332</v>
      </c>
    </row>
    <row r="11" spans="1:14" x14ac:dyDescent="0.25">
      <c r="A11" t="s">
        <v>8</v>
      </c>
      <c r="B11" s="4">
        <v>1200000</v>
      </c>
      <c r="C11" s="3">
        <v>1</v>
      </c>
      <c r="D11" s="4">
        <f>+B11*C11</f>
        <v>1200000</v>
      </c>
      <c r="G11" t="str">
        <f>+G6</f>
        <v>Amortizacion</v>
      </c>
      <c r="I11" s="11">
        <f t="shared" si="3"/>
        <v>500000</v>
      </c>
      <c r="J11" s="11">
        <f t="shared" si="3"/>
        <v>500000</v>
      </c>
      <c r="K11" s="11">
        <f t="shared" si="3"/>
        <v>500000</v>
      </c>
      <c r="L11" s="11">
        <f t="shared" si="3"/>
        <v>500000</v>
      </c>
      <c r="M11" s="11">
        <f t="shared" si="3"/>
        <v>500000</v>
      </c>
      <c r="N11" s="11">
        <f t="shared" si="3"/>
        <v>500000</v>
      </c>
    </row>
    <row r="12" spans="1:14" x14ac:dyDescent="0.25">
      <c r="A12" t="s">
        <v>9</v>
      </c>
      <c r="B12" s="4">
        <v>1000000</v>
      </c>
      <c r="C12" s="3">
        <v>1</v>
      </c>
      <c r="D12" s="4">
        <f t="shared" ref="D12:D23" si="4">+B12*C12</f>
        <v>1000000</v>
      </c>
      <c r="G12" t="s">
        <v>76</v>
      </c>
      <c r="H12" s="7">
        <f>-Informacion!B84</f>
        <v>-280083000</v>
      </c>
    </row>
    <row r="13" spans="1:14" x14ac:dyDescent="0.25">
      <c r="A13" t="s">
        <v>12</v>
      </c>
      <c r="B13" s="4">
        <v>300000</v>
      </c>
      <c r="C13" s="3">
        <v>2</v>
      </c>
      <c r="D13" s="4">
        <f t="shared" si="4"/>
        <v>600000</v>
      </c>
      <c r="H13" s="7"/>
    </row>
    <row r="14" spans="1:14" x14ac:dyDescent="0.25">
      <c r="A14" t="s">
        <v>13</v>
      </c>
      <c r="B14" s="4">
        <v>50000</v>
      </c>
      <c r="C14" s="3">
        <v>4</v>
      </c>
      <c r="D14" s="4">
        <f t="shared" si="4"/>
        <v>200000</v>
      </c>
      <c r="G14" s="26" t="s">
        <v>77</v>
      </c>
      <c r="H14" s="27">
        <f t="shared" ref="H14:N14" si="5">SUM(H9:H12)</f>
        <v>-280083000</v>
      </c>
      <c r="I14" s="27">
        <f t="shared" si="5"/>
        <v>137474703.33333334</v>
      </c>
      <c r="J14" s="27">
        <f t="shared" si="5"/>
        <v>131493783.33333333</v>
      </c>
      <c r="K14" s="27">
        <f t="shared" si="5"/>
        <v>136968621.93333334</v>
      </c>
      <c r="L14" s="27">
        <f t="shared" si="5"/>
        <v>142689828.27033335</v>
      </c>
      <c r="M14" s="27">
        <f t="shared" si="5"/>
        <v>148668488.89249837</v>
      </c>
      <c r="N14" s="27">
        <f t="shared" si="5"/>
        <v>154916189.24266076</v>
      </c>
    </row>
    <row r="15" spans="1:14" x14ac:dyDescent="0.25">
      <c r="A15" t="s">
        <v>14</v>
      </c>
      <c r="B15" s="4">
        <v>30000</v>
      </c>
      <c r="C15" s="3">
        <v>4</v>
      </c>
      <c r="D15" s="4">
        <f t="shared" si="4"/>
        <v>120000</v>
      </c>
    </row>
    <row r="16" spans="1:14" x14ac:dyDescent="0.25">
      <c r="A16" t="s">
        <v>15</v>
      </c>
      <c r="B16" s="4">
        <v>10000</v>
      </c>
      <c r="C16" s="3">
        <v>4</v>
      </c>
      <c r="D16" s="4">
        <f t="shared" si="4"/>
        <v>40000</v>
      </c>
      <c r="G16" s="21" t="s">
        <v>79</v>
      </c>
      <c r="H16" s="22">
        <f>IRR(H14:N14)</f>
        <v>0.43847739054493196</v>
      </c>
    </row>
    <row r="17" spans="1:14" x14ac:dyDescent="0.25">
      <c r="A17" t="s">
        <v>16</v>
      </c>
      <c r="B17" s="4">
        <v>7000</v>
      </c>
      <c r="C17" s="3">
        <v>4</v>
      </c>
      <c r="D17" s="4">
        <f t="shared" si="4"/>
        <v>28000</v>
      </c>
      <c r="G17" s="21" t="s">
        <v>80</v>
      </c>
      <c r="H17" s="23">
        <f>+NPV(Informacion!$B$88,Informacion!I14:N14)+Informacion!H14</f>
        <v>131952512.04251719</v>
      </c>
    </row>
    <row r="18" spans="1:14" x14ac:dyDescent="0.25">
      <c r="A18" t="s">
        <v>17</v>
      </c>
      <c r="B18" s="4">
        <v>30000</v>
      </c>
      <c r="C18" s="3">
        <v>4</v>
      </c>
      <c r="D18" s="4">
        <f t="shared" si="4"/>
        <v>120000</v>
      </c>
      <c r="G18" s="21" t="s">
        <v>81</v>
      </c>
      <c r="H18" s="22">
        <f>MIRR(H14:N14,Informacion!B88,Informacion!B88)</f>
        <v>0.33306501039660108</v>
      </c>
    </row>
    <row r="19" spans="1:14" x14ac:dyDescent="0.25">
      <c r="A19" t="s">
        <v>18</v>
      </c>
      <c r="B19" s="4">
        <v>100000</v>
      </c>
      <c r="C19" s="3">
        <v>2</v>
      </c>
      <c r="D19" s="4">
        <f t="shared" si="4"/>
        <v>200000</v>
      </c>
      <c r="G19" s="21" t="s">
        <v>82</v>
      </c>
      <c r="H19" s="24">
        <f>-PMT(Informacion!B88,6,Informacion!H17)</f>
        <v>44708083.976587974</v>
      </c>
    </row>
    <row r="20" spans="1:14" x14ac:dyDescent="0.25">
      <c r="A20" t="s">
        <v>19</v>
      </c>
      <c r="B20" s="4">
        <v>15000</v>
      </c>
      <c r="C20" s="3">
        <v>2</v>
      </c>
      <c r="D20" s="4">
        <f t="shared" si="4"/>
        <v>30000</v>
      </c>
      <c r="G20" s="21" t="s">
        <v>83</v>
      </c>
      <c r="H20" s="25">
        <f>-NPV(Informacion!$B$88,Informacion!I14:N14)/Informacion!H14</f>
        <v>1.4711193183539064</v>
      </c>
    </row>
    <row r="21" spans="1:14" x14ac:dyDescent="0.25">
      <c r="A21" t="s">
        <v>20</v>
      </c>
      <c r="B21" s="4">
        <v>15000</v>
      </c>
      <c r="C21" s="3">
        <v>2</v>
      </c>
      <c r="D21" s="4">
        <f t="shared" si="4"/>
        <v>30000</v>
      </c>
    </row>
    <row r="22" spans="1:14" x14ac:dyDescent="0.25">
      <c r="A22" t="s">
        <v>22</v>
      </c>
      <c r="B22" s="4">
        <v>5000</v>
      </c>
      <c r="C22" s="3">
        <v>2</v>
      </c>
      <c r="D22" s="4">
        <f t="shared" si="4"/>
        <v>10000</v>
      </c>
      <c r="G22" s="28" t="s">
        <v>84</v>
      </c>
      <c r="H22" s="18">
        <f>-PV(Informacion!$B$88,Informacion!H1,,Informacion!H14)</f>
        <v>-280083000</v>
      </c>
      <c r="I22" s="18">
        <f>-PV(Informacion!$B$88,Informacion!I1,,Informacion!I14)</f>
        <v>109979762.66666667</v>
      </c>
      <c r="J22" s="18">
        <f>-PV(Informacion!$B$88,Informacion!J1,,Informacion!J14)</f>
        <v>84156021.333333328</v>
      </c>
      <c r="K22" s="18">
        <f>-PV(Informacion!$B$88,Informacion!K1,,Informacion!K14)</f>
        <v>70127934.429866672</v>
      </c>
      <c r="L22" s="18">
        <f>-PV(Informacion!$B$88,Informacion!L1,,Informacion!L14)</f>
        <v>58445753.659528539</v>
      </c>
      <c r="M22" s="18">
        <f>-PV(Informacion!$B$88,Informacion!M1,,Informacion!M14)</f>
        <v>48715690.440293871</v>
      </c>
      <c r="N22" s="18">
        <f>-PV(Informacion!$B$88,Informacion!N1,,Informacion!N14)</f>
        <v>40610349.512828059</v>
      </c>
    </row>
    <row r="23" spans="1:14" x14ac:dyDescent="0.25">
      <c r="A23" t="s">
        <v>23</v>
      </c>
      <c r="B23" s="4">
        <v>250000</v>
      </c>
      <c r="C23" s="3">
        <v>1</v>
      </c>
      <c r="D23" s="4">
        <f t="shared" si="4"/>
        <v>250000</v>
      </c>
      <c r="G23" s="28" t="s">
        <v>85</v>
      </c>
      <c r="H23" s="18">
        <f>+H22</f>
        <v>-280083000</v>
      </c>
      <c r="I23" s="18">
        <f t="shared" ref="I23:N23" si="6">+H23+I22</f>
        <v>-170103237.33333331</v>
      </c>
      <c r="J23" s="18">
        <f t="shared" si="6"/>
        <v>-85947215.999999985</v>
      </c>
      <c r="K23" s="18">
        <f t="shared" si="6"/>
        <v>-15819281.570133314</v>
      </c>
      <c r="L23" s="18">
        <f t="shared" si="6"/>
        <v>42626472.089395225</v>
      </c>
      <c r="M23" s="18">
        <f t="shared" si="6"/>
        <v>91342162.529689103</v>
      </c>
      <c r="N23" s="18">
        <f t="shared" si="6"/>
        <v>131952512.04251716</v>
      </c>
    </row>
    <row r="24" spans="1:14" x14ac:dyDescent="0.25">
      <c r="B24" s="4"/>
      <c r="G24" s="28" t="s">
        <v>86</v>
      </c>
      <c r="H24" s="18">
        <f>+H14</f>
        <v>-280083000</v>
      </c>
      <c r="I24" s="18">
        <f t="shared" ref="I24:N24" si="7">+H24+I14</f>
        <v>-142608296.66666666</v>
      </c>
      <c r="J24" s="18">
        <f t="shared" si="7"/>
        <v>-11114513.333333328</v>
      </c>
      <c r="K24" s="18">
        <f t="shared" si="7"/>
        <v>125854108.60000001</v>
      </c>
      <c r="L24" s="18">
        <f t="shared" si="7"/>
        <v>268543936.87033337</v>
      </c>
      <c r="M24" s="18">
        <f t="shared" si="7"/>
        <v>417212425.76283175</v>
      </c>
      <c r="N24" s="18">
        <f t="shared" si="7"/>
        <v>572128615.00549245</v>
      </c>
    </row>
    <row r="25" spans="1:14" x14ac:dyDescent="0.25">
      <c r="A25" s="1" t="s">
        <v>24</v>
      </c>
      <c r="B25" s="5"/>
      <c r="D25" s="6">
        <f>SUM(D11:D24)</f>
        <v>3828000</v>
      </c>
    </row>
    <row r="26" spans="1:14" x14ac:dyDescent="0.25">
      <c r="B26" s="4"/>
      <c r="G26" t="s">
        <v>87</v>
      </c>
      <c r="H26" s="20">
        <f>2+(K22-K23)/K22</f>
        <v>3.2255774635135417</v>
      </c>
      <c r="I26">
        <v>2</v>
      </c>
      <c r="J26" t="s">
        <v>89</v>
      </c>
      <c r="K26" s="19">
        <f>+(H26-I26)*360</f>
        <v>441.20788686487504</v>
      </c>
      <c r="L26" t="s">
        <v>90</v>
      </c>
    </row>
    <row r="27" spans="1:14" x14ac:dyDescent="0.25">
      <c r="A27" s="1" t="s">
        <v>26</v>
      </c>
      <c r="B27" s="4"/>
      <c r="G27" t="s">
        <v>88</v>
      </c>
      <c r="H27" s="20">
        <f>1+(J14-J24)/J14</f>
        <v>2.0845250098642181</v>
      </c>
      <c r="I27">
        <v>1</v>
      </c>
      <c r="J27" t="s">
        <v>89</v>
      </c>
      <c r="K27" s="19">
        <f>+(H27-I27)*360</f>
        <v>390.42900355111851</v>
      </c>
      <c r="L27" t="s">
        <v>90</v>
      </c>
    </row>
    <row r="28" spans="1:14" x14ac:dyDescent="0.25">
      <c r="B28" s="3" t="s">
        <v>10</v>
      </c>
      <c r="C28" s="3" t="s">
        <v>11</v>
      </c>
      <c r="D28" s="3" t="s">
        <v>24</v>
      </c>
    </row>
    <row r="29" spans="1:14" x14ac:dyDescent="0.25">
      <c r="A29" t="s">
        <v>27</v>
      </c>
      <c r="B29" s="4">
        <v>11000</v>
      </c>
      <c r="C29" s="2">
        <v>1000</v>
      </c>
      <c r="D29" s="4">
        <f>+B29*C29</f>
        <v>11000000</v>
      </c>
    </row>
    <row r="30" spans="1:14" x14ac:dyDescent="0.25">
      <c r="A30" t="s">
        <v>28</v>
      </c>
      <c r="B30" s="4">
        <v>580000</v>
      </c>
      <c r="C30" s="2">
        <v>40</v>
      </c>
      <c r="D30" s="4">
        <f t="shared" ref="D30:D41" si="8">+B30*C30</f>
        <v>23200000</v>
      </c>
    </row>
    <row r="31" spans="1:14" x14ac:dyDescent="0.25">
      <c r="A31" t="s">
        <v>29</v>
      </c>
      <c r="B31" s="4">
        <v>850000</v>
      </c>
      <c r="C31" s="2">
        <v>8</v>
      </c>
      <c r="D31" s="4">
        <f t="shared" si="8"/>
        <v>6800000</v>
      </c>
    </row>
    <row r="32" spans="1:14" x14ac:dyDescent="0.25">
      <c r="A32" t="s">
        <v>30</v>
      </c>
      <c r="B32" s="4">
        <v>550000</v>
      </c>
      <c r="C32" s="2">
        <v>10</v>
      </c>
      <c r="D32" s="4">
        <f t="shared" si="8"/>
        <v>5500000</v>
      </c>
    </row>
    <row r="33" spans="1:4" x14ac:dyDescent="0.25">
      <c r="A33" t="s">
        <v>31</v>
      </c>
      <c r="B33" s="4">
        <v>110</v>
      </c>
      <c r="C33" s="2">
        <v>12000</v>
      </c>
      <c r="D33" s="4">
        <f t="shared" si="8"/>
        <v>1320000</v>
      </c>
    </row>
    <row r="34" spans="1:4" x14ac:dyDescent="0.25">
      <c r="A34" t="s">
        <v>33</v>
      </c>
      <c r="B34" s="4">
        <v>7000</v>
      </c>
      <c r="C34" s="2">
        <v>100</v>
      </c>
      <c r="D34" s="4">
        <f t="shared" si="8"/>
        <v>700000</v>
      </c>
    </row>
    <row r="35" spans="1:4" x14ac:dyDescent="0.25">
      <c r="A35" t="s">
        <v>32</v>
      </c>
      <c r="B35" s="4">
        <v>28000</v>
      </c>
      <c r="C35" s="2">
        <v>10</v>
      </c>
      <c r="D35" s="4">
        <f t="shared" si="8"/>
        <v>280000</v>
      </c>
    </row>
    <row r="36" spans="1:4" x14ac:dyDescent="0.25">
      <c r="A36" t="s">
        <v>34</v>
      </c>
      <c r="B36" s="4">
        <v>50000</v>
      </c>
      <c r="C36" s="2">
        <v>3</v>
      </c>
      <c r="D36" s="4">
        <f t="shared" si="8"/>
        <v>150000</v>
      </c>
    </row>
    <row r="37" spans="1:4" x14ac:dyDescent="0.25">
      <c r="A37" t="s">
        <v>35</v>
      </c>
      <c r="B37" s="4">
        <v>15000</v>
      </c>
      <c r="C37" s="2">
        <v>50</v>
      </c>
      <c r="D37" s="4">
        <f t="shared" si="8"/>
        <v>750000</v>
      </c>
    </row>
    <row r="38" spans="1:4" x14ac:dyDescent="0.25">
      <c r="A38" t="s">
        <v>36</v>
      </c>
      <c r="B38" s="4">
        <v>300</v>
      </c>
      <c r="C38" s="2">
        <v>2200</v>
      </c>
      <c r="D38" s="4">
        <f t="shared" si="8"/>
        <v>660000</v>
      </c>
    </row>
    <row r="39" spans="1:4" x14ac:dyDescent="0.25">
      <c r="A39" t="s">
        <v>49</v>
      </c>
      <c r="B39" s="4">
        <v>120000</v>
      </c>
      <c r="C39" s="2">
        <v>3</v>
      </c>
      <c r="D39" s="4">
        <f t="shared" si="8"/>
        <v>360000</v>
      </c>
    </row>
    <row r="40" spans="1:4" x14ac:dyDescent="0.25">
      <c r="A40" t="s">
        <v>50</v>
      </c>
      <c r="B40" s="4"/>
      <c r="C40" s="2"/>
      <c r="D40" s="4">
        <v>3000000</v>
      </c>
    </row>
    <row r="41" spans="1:4" x14ac:dyDescent="0.25">
      <c r="A41" t="s">
        <v>43</v>
      </c>
      <c r="B41" s="4">
        <v>20000000</v>
      </c>
      <c r="C41" s="2">
        <v>1</v>
      </c>
      <c r="D41" s="4">
        <f t="shared" si="8"/>
        <v>20000000</v>
      </c>
    </row>
    <row r="42" spans="1:4" x14ac:dyDescent="0.25">
      <c r="B42" s="4"/>
      <c r="D42" s="4"/>
    </row>
    <row r="43" spans="1:4" x14ac:dyDescent="0.25">
      <c r="A43" s="1" t="s">
        <v>24</v>
      </c>
      <c r="B43" s="5"/>
      <c r="D43" s="5">
        <f>SUM(D29:D42)</f>
        <v>73720000</v>
      </c>
    </row>
    <row r="44" spans="1:4" x14ac:dyDescent="0.25">
      <c r="B44" s="4"/>
      <c r="D44" s="4"/>
    </row>
    <row r="45" spans="1:4" x14ac:dyDescent="0.25">
      <c r="A45" s="57" t="s">
        <v>37</v>
      </c>
      <c r="B45" s="58"/>
      <c r="C45" s="58"/>
      <c r="D45" s="59"/>
    </row>
    <row r="46" spans="1:4" x14ac:dyDescent="0.25">
      <c r="A46" s="60"/>
      <c r="B46" s="58" t="s">
        <v>10</v>
      </c>
      <c r="C46" s="58" t="s">
        <v>11</v>
      </c>
      <c r="D46" s="58" t="s">
        <v>24</v>
      </c>
    </row>
    <row r="47" spans="1:4" x14ac:dyDescent="0.25">
      <c r="A47" s="60" t="s">
        <v>38</v>
      </c>
      <c r="B47" s="59">
        <v>2000</v>
      </c>
      <c r="C47" s="61">
        <v>750</v>
      </c>
      <c r="D47" s="59">
        <f>+B47*C47</f>
        <v>1500000</v>
      </c>
    </row>
    <row r="48" spans="1:4" x14ac:dyDescent="0.25">
      <c r="A48" s="60" t="s">
        <v>44</v>
      </c>
      <c r="B48" s="59">
        <v>2000</v>
      </c>
      <c r="C48" s="61">
        <v>750</v>
      </c>
      <c r="D48" s="59">
        <f>+B48*C48</f>
        <v>1500000</v>
      </c>
    </row>
    <row r="49" spans="1:5" x14ac:dyDescent="0.25">
      <c r="A49" s="60" t="s">
        <v>39</v>
      </c>
      <c r="B49" s="59">
        <v>300</v>
      </c>
      <c r="C49" s="61">
        <v>60000</v>
      </c>
      <c r="D49" s="59">
        <f t="shared" ref="D49:D54" si="9">+B49*C49</f>
        <v>18000000</v>
      </c>
    </row>
    <row r="50" spans="1:5" x14ac:dyDescent="0.25">
      <c r="A50" s="60" t="s">
        <v>40</v>
      </c>
      <c r="B50" s="59">
        <v>1500000</v>
      </c>
      <c r="C50" s="61">
        <v>2</v>
      </c>
      <c r="D50" s="59">
        <f t="shared" si="9"/>
        <v>3000000</v>
      </c>
    </row>
    <row r="51" spans="1:5" x14ac:dyDescent="0.25">
      <c r="A51" s="60" t="s">
        <v>41</v>
      </c>
      <c r="B51" s="59">
        <v>500</v>
      </c>
      <c r="C51" s="61">
        <v>200</v>
      </c>
      <c r="D51" s="59">
        <f t="shared" si="9"/>
        <v>100000</v>
      </c>
    </row>
    <row r="52" spans="1:5" x14ac:dyDescent="0.25">
      <c r="A52" s="60" t="s">
        <v>42</v>
      </c>
      <c r="B52" s="59">
        <v>100000</v>
      </c>
      <c r="C52" s="61">
        <v>5</v>
      </c>
      <c r="D52" s="59">
        <f t="shared" si="9"/>
        <v>500000</v>
      </c>
    </row>
    <row r="53" spans="1:5" x14ac:dyDescent="0.25">
      <c r="A53" s="60" t="s">
        <v>21</v>
      </c>
      <c r="B53" s="59">
        <v>7000000</v>
      </c>
      <c r="C53" s="61">
        <v>1</v>
      </c>
      <c r="D53" s="59">
        <f>+B53*C53</f>
        <v>7000000</v>
      </c>
    </row>
    <row r="54" spans="1:5" x14ac:dyDescent="0.25">
      <c r="A54" s="60" t="s">
        <v>45</v>
      </c>
      <c r="B54" s="59">
        <v>500000</v>
      </c>
      <c r="C54" s="61">
        <v>2</v>
      </c>
      <c r="D54" s="59">
        <f t="shared" si="9"/>
        <v>1000000</v>
      </c>
    </row>
    <row r="55" spans="1:5" x14ac:dyDescent="0.25">
      <c r="A55" s="60" t="s">
        <v>46</v>
      </c>
      <c r="B55" s="59">
        <v>4500000</v>
      </c>
      <c r="C55" s="61">
        <v>1</v>
      </c>
      <c r="D55" s="59">
        <f t="shared" ref="D55" si="10">+B55*C55</f>
        <v>4500000</v>
      </c>
    </row>
    <row r="56" spans="1:5" x14ac:dyDescent="0.25">
      <c r="A56" s="60"/>
      <c r="B56" s="59"/>
      <c r="C56" s="61"/>
      <c r="D56" s="59"/>
    </row>
    <row r="57" spans="1:5" x14ac:dyDescent="0.25">
      <c r="A57" s="57" t="s">
        <v>24</v>
      </c>
      <c r="B57" s="62"/>
      <c r="C57" s="61"/>
      <c r="D57" s="62">
        <f>SUM(D47:D56)</f>
        <v>37100000</v>
      </c>
    </row>
    <row r="59" spans="1:5" x14ac:dyDescent="0.25">
      <c r="A59" s="1" t="s">
        <v>47</v>
      </c>
      <c r="B59" s="5">
        <v>800</v>
      </c>
      <c r="C59" s="9">
        <v>2200</v>
      </c>
      <c r="D59" s="5">
        <f t="shared" ref="D59" si="11">+B59*C59</f>
        <v>1760000</v>
      </c>
    </row>
    <row r="61" spans="1:5" x14ac:dyDescent="0.25">
      <c r="A61" t="s">
        <v>109</v>
      </c>
      <c r="B61" s="54">
        <f>8250*1100</f>
        <v>9075000</v>
      </c>
    </row>
    <row r="62" spans="1:5" x14ac:dyDescent="0.25">
      <c r="A62" t="s">
        <v>110</v>
      </c>
      <c r="B62" s="4">
        <v>45000000</v>
      </c>
    </row>
    <row r="64" spans="1:5" x14ac:dyDescent="0.25">
      <c r="A64" s="1" t="s">
        <v>48</v>
      </c>
      <c r="B64" s="8">
        <f>+D25+D43+D57+D59+B61+B62</f>
        <v>170483000</v>
      </c>
      <c r="E64" s="7"/>
    </row>
    <row r="66" spans="1:6" x14ac:dyDescent="0.25">
      <c r="A66" s="1" t="s">
        <v>54</v>
      </c>
    </row>
    <row r="67" spans="1:6" x14ac:dyDescent="0.25">
      <c r="A67" t="s">
        <v>55</v>
      </c>
      <c r="B67" s="4">
        <v>500000</v>
      </c>
    </row>
    <row r="68" spans="1:6" x14ac:dyDescent="0.25">
      <c r="A68" s="10" t="s">
        <v>56</v>
      </c>
      <c r="B68" s="4">
        <v>2500000</v>
      </c>
    </row>
    <row r="69" spans="1:6" x14ac:dyDescent="0.25">
      <c r="A69" s="10"/>
      <c r="B69" s="4"/>
    </row>
    <row r="70" spans="1:6" x14ac:dyDescent="0.25">
      <c r="A70" s="1" t="s">
        <v>65</v>
      </c>
      <c r="B70" s="6">
        <f>SUM(B67:B69)</f>
        <v>3000000</v>
      </c>
    </row>
    <row r="72" spans="1:6" x14ac:dyDescent="0.25">
      <c r="A72" s="1" t="s">
        <v>51</v>
      </c>
    </row>
    <row r="74" spans="1:6" x14ac:dyDescent="0.25">
      <c r="A74" t="s">
        <v>52</v>
      </c>
      <c r="B74" s="3">
        <v>2</v>
      </c>
    </row>
    <row r="75" spans="1:6" x14ac:dyDescent="0.25">
      <c r="A75" t="s">
        <v>53</v>
      </c>
      <c r="B75" s="4">
        <v>1300000</v>
      </c>
    </row>
    <row r="76" spans="1:6" x14ac:dyDescent="0.25">
      <c r="A76" t="s">
        <v>57</v>
      </c>
      <c r="B76" s="4">
        <v>2000000</v>
      </c>
      <c r="C76" s="12" t="s">
        <v>60</v>
      </c>
      <c r="D76" s="4">
        <v>3000000</v>
      </c>
      <c r="E76" s="4" t="s">
        <v>61</v>
      </c>
      <c r="F76" s="4">
        <v>6000000</v>
      </c>
    </row>
    <row r="77" spans="1:6" x14ac:dyDescent="0.25">
      <c r="A77" t="s">
        <v>59</v>
      </c>
      <c r="B77" s="4">
        <v>1500000</v>
      </c>
    </row>
    <row r="78" spans="1:6" x14ac:dyDescent="0.25">
      <c r="A78" t="s">
        <v>56</v>
      </c>
      <c r="B78" s="4">
        <v>200000</v>
      </c>
    </row>
    <row r="79" spans="1:6" x14ac:dyDescent="0.25">
      <c r="B79" s="4"/>
    </row>
    <row r="80" spans="1:6" x14ac:dyDescent="0.25">
      <c r="A80" s="1" t="s">
        <v>62</v>
      </c>
      <c r="B80" s="5">
        <f>+$B$78+$B$77+B76+$B$75*$B$74</f>
        <v>6300000</v>
      </c>
      <c r="D80" s="5">
        <f>+$B$78+$B$77+D76+$B$75*$B$74</f>
        <v>7300000</v>
      </c>
      <c r="F80" s="5">
        <f>+$B$78+$B$77+F76+$B$75*$B$74</f>
        <v>10300000</v>
      </c>
    </row>
    <row r="82" spans="1:4" x14ac:dyDescent="0.25">
      <c r="A82" s="1" t="s">
        <v>64</v>
      </c>
      <c r="B82" s="6">
        <f>+B80*2+D80*3+F80*7</f>
        <v>106600000</v>
      </c>
    </row>
    <row r="83" spans="1:4" x14ac:dyDescent="0.25">
      <c r="D83" s="4"/>
    </row>
    <row r="84" spans="1:4" x14ac:dyDescent="0.25">
      <c r="A84" s="13" t="s">
        <v>63</v>
      </c>
      <c r="B84" s="14">
        <f>+B82+B70+B64</f>
        <v>280083000</v>
      </c>
    </row>
    <row r="86" spans="1:4" x14ac:dyDescent="0.25">
      <c r="A86" t="s">
        <v>68</v>
      </c>
      <c r="B86" s="15">
        <v>4.4999999999999998E-2</v>
      </c>
    </row>
    <row r="87" spans="1:4" x14ac:dyDescent="0.25">
      <c r="A87" t="s">
        <v>74</v>
      </c>
      <c r="B87" s="16">
        <v>0.34</v>
      </c>
    </row>
    <row r="88" spans="1:4" x14ac:dyDescent="0.25">
      <c r="A88" t="s">
        <v>78</v>
      </c>
      <c r="B88" s="16">
        <v>0.25</v>
      </c>
    </row>
  </sheetData>
  <scenarios current="0" sqref="H16:H20">
    <scenario name="PESIMISTA" locked="1" count="4" user="andres montes gomez" comment="Creado por andres montes gomez el 25/04/2017">
      <inputCells r="H4" val="4000" numFmtId="42"/>
      <inputCells r="H5" val="25"/>
      <inputCells r="B77" val="2500000" numFmtId="42"/>
      <inputCells r="F76" val="7500000" numFmtId="42"/>
    </scenario>
    <scenario name="ESPERADO" locked="1" count="4" user="andres montes gomez" comment="Creado por andres montes gomez el 25/04/2017">
      <inputCells r="H4" val="5000" numFmtId="42"/>
      <inputCells r="H5" val="30"/>
      <inputCells r="B77" val="2000000" numFmtId="42"/>
      <inputCells r="F76" val="5500000" numFmtId="42"/>
    </scenario>
    <scenario name="OPTIMISTA" locked="1" count="4" user="andres montes gomez" comment="Creado por andres montes gomez el 25/04/2017">
      <inputCells r="H4" val="6000" numFmtId="42"/>
      <inputCells r="H5" val="35"/>
      <inputCells r="B77" val="1500000" numFmtId="42"/>
      <inputCells r="F76" val="5000000" numFmtId="42"/>
    </scenario>
  </scenario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K24"/>
  <sheetViews>
    <sheetView showGridLines="0" workbookViewId="0">
      <selection activeCell="I20" sqref="I20"/>
    </sheetView>
  </sheetViews>
  <sheetFormatPr baseColWidth="10" defaultRowHeight="15" outlineLevelRow="1" outlineLevelCol="1" x14ac:dyDescent="0.25"/>
  <cols>
    <col min="3" max="3" width="15.42578125" customWidth="1"/>
    <col min="4" max="4" width="22.5703125" bestFit="1" customWidth="1" outlineLevel="1"/>
    <col min="5" max="7" width="14.5703125" bestFit="1" customWidth="1" outlineLevel="1"/>
    <col min="10" max="10" width="13.5703125" bestFit="1" customWidth="1"/>
    <col min="11" max="11" width="12.7109375" bestFit="1" customWidth="1"/>
  </cols>
  <sheetData>
    <row r="1" spans="2:11" ht="15.75" thickBot="1" x14ac:dyDescent="0.3"/>
    <row r="2" spans="2:11" ht="15.75" x14ac:dyDescent="0.25">
      <c r="B2" s="35" t="s">
        <v>96</v>
      </c>
      <c r="C2" s="35"/>
      <c r="D2" s="40"/>
      <c r="E2" s="40"/>
      <c r="F2" s="40"/>
      <c r="G2" s="40"/>
    </row>
    <row r="3" spans="2:11" ht="15.75" collapsed="1" x14ac:dyDescent="0.25">
      <c r="B3" s="34"/>
      <c r="C3" s="34"/>
      <c r="D3" s="41" t="s">
        <v>98</v>
      </c>
      <c r="E3" s="41" t="s">
        <v>92</v>
      </c>
      <c r="F3" s="41" t="s">
        <v>94</v>
      </c>
      <c r="G3" s="41" t="s">
        <v>95</v>
      </c>
    </row>
    <row r="4" spans="2:11" ht="33.75" hidden="1" outlineLevel="1" x14ac:dyDescent="0.25">
      <c r="B4" s="37"/>
      <c r="C4" s="37"/>
      <c r="D4" s="29"/>
      <c r="E4" s="44" t="s">
        <v>93</v>
      </c>
      <c r="F4" s="44" t="s">
        <v>93</v>
      </c>
      <c r="G4" s="44" t="s">
        <v>93</v>
      </c>
    </row>
    <row r="5" spans="2:11" x14ac:dyDescent="0.25">
      <c r="B5" s="38" t="s">
        <v>97</v>
      </c>
      <c r="C5" s="38"/>
      <c r="D5" s="36"/>
      <c r="E5" s="36"/>
      <c r="F5" s="36"/>
      <c r="G5" s="36"/>
    </row>
    <row r="6" spans="2:11" outlineLevel="1" x14ac:dyDescent="0.25">
      <c r="B6" s="37"/>
      <c r="C6" s="37" t="s">
        <v>3</v>
      </c>
      <c r="D6" s="46">
        <v>5000</v>
      </c>
      <c r="E6" s="45">
        <v>4000</v>
      </c>
      <c r="F6" s="45">
        <v>5000</v>
      </c>
      <c r="G6" s="45">
        <v>6000</v>
      </c>
    </row>
    <row r="7" spans="2:11" outlineLevel="1" x14ac:dyDescent="0.25">
      <c r="B7" s="37"/>
      <c r="C7" s="37" t="s">
        <v>100</v>
      </c>
      <c r="D7" s="29">
        <v>30</v>
      </c>
      <c r="E7" s="42">
        <v>25</v>
      </c>
      <c r="F7" s="42">
        <v>30</v>
      </c>
      <c r="G7" s="42">
        <v>35</v>
      </c>
    </row>
    <row r="8" spans="2:11" outlineLevel="1" x14ac:dyDescent="0.25">
      <c r="B8" s="37"/>
      <c r="C8" s="37" t="s">
        <v>58</v>
      </c>
      <c r="D8" s="30">
        <v>1500000</v>
      </c>
      <c r="E8" s="43">
        <v>2500000</v>
      </c>
      <c r="F8" s="43">
        <v>2000000</v>
      </c>
      <c r="G8" s="43">
        <v>1500000</v>
      </c>
    </row>
    <row r="9" spans="2:11" outlineLevel="1" x14ac:dyDescent="0.25">
      <c r="B9" s="37"/>
      <c r="C9" s="37" t="s">
        <v>57</v>
      </c>
      <c r="D9" s="30">
        <v>6000000</v>
      </c>
      <c r="E9" s="43">
        <v>7500000</v>
      </c>
      <c r="F9" s="43">
        <v>5500000</v>
      </c>
      <c r="G9" s="43">
        <v>5000000</v>
      </c>
    </row>
    <row r="10" spans="2:11" x14ac:dyDescent="0.25">
      <c r="B10" s="38" t="s">
        <v>99</v>
      </c>
      <c r="C10" s="38"/>
      <c r="D10" s="36"/>
      <c r="E10" s="36"/>
      <c r="F10" s="36"/>
      <c r="G10" s="36"/>
    </row>
    <row r="11" spans="2:11" outlineLevel="1" x14ac:dyDescent="0.25">
      <c r="B11" s="37"/>
      <c r="C11" s="37" t="s">
        <v>79</v>
      </c>
      <c r="D11" s="31">
        <v>0.57182511832721294</v>
      </c>
      <c r="E11" s="31" t="s">
        <v>105</v>
      </c>
      <c r="F11" s="31">
        <v>0.56167018891766096</v>
      </c>
      <c r="G11" s="31">
        <v>0.62671293635854197</v>
      </c>
      <c r="I11" t="s">
        <v>106</v>
      </c>
      <c r="J11" s="51">
        <v>4.9000000000000002E-2</v>
      </c>
    </row>
    <row r="12" spans="2:11" outlineLevel="1" x14ac:dyDescent="0.25">
      <c r="B12" s="37"/>
      <c r="C12" s="37" t="s">
        <v>80</v>
      </c>
      <c r="D12" s="30">
        <v>190706848.66878799</v>
      </c>
      <c r="E12" s="30">
        <v>108553763.925993</v>
      </c>
      <c r="F12" s="30">
        <v>186886848.66878799</v>
      </c>
      <c r="G12" s="30">
        <v>220512082.56590599</v>
      </c>
      <c r="I12" s="31">
        <v>6.2300000000000001E-2</v>
      </c>
    </row>
    <row r="13" spans="2:11" outlineLevel="1" x14ac:dyDescent="0.25">
      <c r="B13" s="37"/>
      <c r="C13" s="37" t="s">
        <v>91</v>
      </c>
      <c r="D13" s="31">
        <v>0.382666962619304</v>
      </c>
      <c r="E13" s="31">
        <v>0.32695097049024202</v>
      </c>
      <c r="F13" s="31">
        <v>0.37944655617199202</v>
      </c>
      <c r="G13" s="31">
        <v>0.40213140203471198</v>
      </c>
    </row>
    <row r="14" spans="2:11" outlineLevel="1" x14ac:dyDescent="0.25">
      <c r="B14" s="37"/>
      <c r="C14" s="37" t="s">
        <v>82</v>
      </c>
      <c r="D14" s="32">
        <v>64615198.856141299</v>
      </c>
      <c r="E14" s="32">
        <v>36780131.870579302</v>
      </c>
      <c r="F14" s="32">
        <v>63320908.371277101</v>
      </c>
      <c r="G14" s="32">
        <v>74713793.262474701</v>
      </c>
      <c r="J14" s="51">
        <v>9.4000000000000004E-3</v>
      </c>
      <c r="K14" t="s">
        <v>107</v>
      </c>
    </row>
    <row r="15" spans="2:11" ht="15.75" outlineLevel="1" thickBot="1" x14ac:dyDescent="0.3">
      <c r="B15" s="39"/>
      <c r="C15" s="39" t="s">
        <v>83</v>
      </c>
      <c r="D15" s="33">
        <v>1.8316624307428799</v>
      </c>
      <c r="E15" s="33">
        <v>1.4310973595993499</v>
      </c>
      <c r="F15" s="33">
        <v>1.8062139730673099</v>
      </c>
      <c r="G15" s="33">
        <v>1.9919214898515001</v>
      </c>
      <c r="J15" s="52">
        <f>+(1+J14)^(12)-1</f>
        <v>0.11881841195515697</v>
      </c>
      <c r="K15" t="s">
        <v>108</v>
      </c>
    </row>
    <row r="16" spans="2:11" x14ac:dyDescent="0.25">
      <c r="J16" s="11">
        <v>200000000</v>
      </c>
    </row>
    <row r="17" spans="2:11" x14ac:dyDescent="0.25">
      <c r="B17" t="s">
        <v>101</v>
      </c>
      <c r="D17" s="17">
        <v>0.3</v>
      </c>
      <c r="E17" s="17">
        <v>0.25</v>
      </c>
      <c r="F17" s="17">
        <v>0.35</v>
      </c>
      <c r="G17" s="17">
        <f>1-SUM(D17:F17)</f>
        <v>9.9999999999999978E-2</v>
      </c>
      <c r="J17">
        <f>+J16*80%*(1-20%)</f>
        <v>128000000</v>
      </c>
      <c r="K17">
        <f>84/12</f>
        <v>7</v>
      </c>
    </row>
    <row r="18" spans="2:11" x14ac:dyDescent="0.25">
      <c r="I18" s="53">
        <f>200*0.6%</f>
        <v>1.2</v>
      </c>
      <c r="J18" s="11">
        <f>+J17*J14</f>
        <v>1203200</v>
      </c>
      <c r="K18" s="18">
        <f>-PMT(J14,84,200000000*80%*(1-20%))</f>
        <v>2210561.5844547884</v>
      </c>
    </row>
    <row r="19" spans="2:11" x14ac:dyDescent="0.25">
      <c r="B19" s="55" t="s">
        <v>102</v>
      </c>
      <c r="C19" s="56"/>
      <c r="D19" s="48">
        <f>+SUMPRODUCT(D17:G17,D12:G12)</f>
        <v>171812100.87280104</v>
      </c>
      <c r="I19">
        <f>75/12</f>
        <v>6.25</v>
      </c>
    </row>
    <row r="20" spans="2:11" x14ac:dyDescent="0.25">
      <c r="B20" s="55" t="s">
        <v>103</v>
      </c>
      <c r="C20" s="56"/>
      <c r="D20" s="49">
        <f>SQRT(SUMPRODUCT(D24:G24,D17:G17)-D19^2)</f>
        <v>37738751.644449554</v>
      </c>
      <c r="I20">
        <f>3*1300</f>
        <v>3900</v>
      </c>
    </row>
    <row r="21" spans="2:11" x14ac:dyDescent="0.25">
      <c r="B21" s="55" t="s">
        <v>104</v>
      </c>
      <c r="C21" s="56"/>
      <c r="D21" s="50">
        <f>+D20/D19</f>
        <v>0.21965130193238819</v>
      </c>
    </row>
    <row r="24" spans="2:11" x14ac:dyDescent="0.25">
      <c r="D24" s="47">
        <f>+D12^2</f>
        <v>3.636910212918E+16</v>
      </c>
      <c r="E24" s="47">
        <f t="shared" ref="E24:G24" si="0">+E12^2</f>
        <v>1.1783919662500218E+16</v>
      </c>
      <c r="F24" s="47">
        <f t="shared" si="0"/>
        <v>3.492669420535046E+16</v>
      </c>
      <c r="G24" s="47">
        <f t="shared" si="0"/>
        <v>4.8625578557552936E+16</v>
      </c>
    </row>
  </sheetData>
  <mergeCells count="3">
    <mergeCell ref="B20:C20"/>
    <mergeCell ref="B19:C19"/>
    <mergeCell ref="B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10</vt:i4>
      </vt:variant>
    </vt:vector>
  </HeadingPairs>
  <TitlesOfParts>
    <vt:vector size="12" baseType="lpstr">
      <vt:lpstr>Informacion</vt:lpstr>
      <vt:lpstr>Resumen del escenario</vt:lpstr>
      <vt:lpstr>Arriendo</vt:lpstr>
      <vt:lpstr>BAUE</vt:lpstr>
      <vt:lpstr>Insumos</vt:lpstr>
      <vt:lpstr>IR</vt:lpstr>
      <vt:lpstr>Precio_Venta</vt:lpstr>
      <vt:lpstr>Produccion</vt:lpstr>
      <vt:lpstr>RI</vt:lpstr>
      <vt:lpstr>TIR</vt:lpstr>
      <vt:lpstr>TIRM</vt:lpstr>
      <vt:lpstr>VPN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montes gomez</dc:creator>
  <cp:lastModifiedBy>luffi</cp:lastModifiedBy>
  <dcterms:created xsi:type="dcterms:W3CDTF">2017-04-22T17:06:00Z</dcterms:created>
  <dcterms:modified xsi:type="dcterms:W3CDTF">2017-08-01T01:00:00Z</dcterms:modified>
</cp:coreProperties>
</file>